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25" yWindow="65431" windowWidth="11475" windowHeight="8085" tabRatio="660" firstSheet="14" activeTab="26"/>
  </bookViews>
  <sheets>
    <sheet name="Bieu 1-cu" sheetId="1" state="hidden" r:id="rId1"/>
    <sheet name="Sheet2" sheetId="2" state="hidden" r:id="rId2"/>
    <sheet name="Sheet4" sheetId="3" state="hidden" r:id="rId3"/>
    <sheet name="Bieu 4" sheetId="4" state="hidden" r:id="rId4"/>
    <sheet name="Sheet1" sheetId="5" state="hidden" r:id="rId5"/>
    <sheet name="Bieu 3 -" sheetId="6" state="hidden" r:id="rId6"/>
    <sheet name="Bieu 3 (cu)" sheetId="7" state="hidden" r:id="rId7"/>
    <sheet name="PL4" sheetId="8" state="hidden" r:id="rId8"/>
    <sheet name="PL4 (cu)" sheetId="9" state="hidden" r:id="rId9"/>
    <sheet name="PL6(cu)" sheetId="10" state="hidden" r:id="rId10"/>
    <sheet name="PL6-cu" sheetId="11" state="hidden" r:id="rId11"/>
    <sheet name="PL7 (cu)" sheetId="12" state="hidden" r:id="rId12"/>
    <sheet name="PL8 (cu)" sheetId="13" state="hidden" r:id="rId13"/>
    <sheet name="Sheet7" sheetId="14" state="hidden" r:id="rId14"/>
    <sheet name="Biểu 1" sheetId="15" r:id="rId15"/>
    <sheet name="Biểu 2" sheetId="16" r:id="rId16"/>
    <sheet name="Sheet3" sheetId="17" state="hidden" r:id="rId17"/>
    <sheet name="Biểu 3" sheetId="18" r:id="rId18"/>
    <sheet name="Sheet5" sheetId="19" state="hidden" r:id="rId19"/>
    <sheet name="Biểu 4." sheetId="20" r:id="rId20"/>
    <sheet name="Biểu 5" sheetId="21" r:id="rId21"/>
    <sheet name="Biểu 6" sheetId="22" r:id="rId22"/>
    <sheet name="Biểu 7" sheetId="23" r:id="rId23"/>
    <sheet name="Biểu 8" sheetId="24" r:id="rId24"/>
    <sheet name="Biểu 9" sheetId="25" r:id="rId25"/>
    <sheet name="Biểu 10" sheetId="26" r:id="rId26"/>
    <sheet name="Biểu 11" sheetId="27" r:id="rId27"/>
    <sheet name="Biểu 12" sheetId="28" r:id="rId28"/>
  </sheets>
  <externalReferences>
    <externalReference r:id="rId31"/>
  </externalReferences>
  <definedNames>
    <definedName name="_xlnm.Print_Area" localSheetId="0">'Bieu 1-cu'!$A:$G</definedName>
    <definedName name="_xlnm.Print_Area" localSheetId="6">'Bieu 3 (cu)'!$A$1:$W$179</definedName>
    <definedName name="_xlnm.Print_Area" localSheetId="3">'Bieu 4'!$A$1:$W$54</definedName>
    <definedName name="_xlnm.Print_Area" localSheetId="7">'PL4'!$A:$S</definedName>
    <definedName name="_xlnm.Print_Area" localSheetId="8">'PL4 (cu)'!$A:$S</definedName>
    <definedName name="_xlnm.Print_Area" localSheetId="9">'PL6(cu)'!$A$1:$W$172</definedName>
    <definedName name="_xlnm.Print_Area" localSheetId="11">'PL7 (cu)'!$A:$J</definedName>
    <definedName name="_xlnm.Print_Area" localSheetId="12">'PL8 (cu)'!$A:$G</definedName>
    <definedName name="_xlnm.Print_Titles" localSheetId="0">'Bieu 1-cu'!$A:$F,'Bieu 1-cu'!$4:$5</definedName>
    <definedName name="_xlnm.Print_Titles" localSheetId="5">'Bieu 3 -'!$4:$7</definedName>
    <definedName name="_xlnm.Print_Titles" localSheetId="6">'Bieu 3 (cu)'!$4:$8</definedName>
    <definedName name="_xlnm.Print_Titles" localSheetId="3">'Bieu 4'!$4:$7</definedName>
    <definedName name="_xlnm.Print_Titles" localSheetId="25">'Biểu 10'!$3:$4</definedName>
    <definedName name="_xlnm.Print_Titles" localSheetId="26">'Biểu 11'!$4:$5</definedName>
    <definedName name="_xlnm.Print_Titles" localSheetId="27">'Biểu 12'!$4:$6</definedName>
    <definedName name="_xlnm.Print_Titles" localSheetId="15">'Biểu 2'!$4:$6</definedName>
    <definedName name="_xlnm.Print_Titles" localSheetId="17">'Biểu 3'!$4:$5</definedName>
    <definedName name="_xlnm.Print_Titles" localSheetId="20">'Biểu 5'!$4:$6</definedName>
    <definedName name="_xlnm.Print_Titles" localSheetId="21">'Biểu 6'!$4:$6</definedName>
    <definedName name="_xlnm.Print_Titles" localSheetId="22">'Biểu 7'!$4:$6</definedName>
    <definedName name="_xlnm.Print_Titles" localSheetId="23">'Biểu 8'!$4:$6</definedName>
    <definedName name="_xlnm.Print_Titles" localSheetId="24">'Biểu 9'!$5:$7</definedName>
    <definedName name="_xlnm.Print_Titles" localSheetId="8">'PL4 (cu)'!$4:$7</definedName>
    <definedName name="_xlnm.Print_Titles" localSheetId="9">'PL6(cu)'!$A:$E,'PL6(cu)'!$3:$4</definedName>
    <definedName name="_xlnm.Print_Titles" localSheetId="10">'PL6-cu'!$A:$E,'PL6-cu'!$3:$4</definedName>
    <definedName name="_xlnm.Print_Titles" localSheetId="11">'PL7 (cu)'!$B:$B,'PL7 (cu)'!$3:$5</definedName>
    <definedName name="_xlnm.Print_Titles" localSheetId="12">'PL8 (cu)'!$A:$B,'PL8 (cu)'!$3:$4</definedName>
  </definedNames>
  <calcPr fullCalcOnLoad="1"/>
</workbook>
</file>

<file path=xl/comments1.xml><?xml version="1.0" encoding="utf-8"?>
<comments xmlns="http://schemas.openxmlformats.org/spreadsheetml/2006/main">
  <authors>
    <author>Sky123.Org</author>
  </authors>
  <commentList>
    <comment ref="F26" authorId="0">
      <text>
        <r>
          <rPr>
            <b/>
            <sz val="9"/>
            <rFont val="Tahoma"/>
            <family val="2"/>
          </rPr>
          <t>Sky123.Org:</t>
        </r>
        <r>
          <rPr>
            <sz val="9"/>
            <rFont val="Tahoma"/>
            <family val="2"/>
          </rPr>
          <t xml:space="preserve">
58,6</t>
        </r>
      </text>
    </comment>
  </commentList>
</comments>
</file>

<file path=xl/comments7.xml><?xml version="1.0" encoding="utf-8"?>
<comments xmlns="http://schemas.openxmlformats.org/spreadsheetml/2006/main">
  <authors>
    <author>Nguyen Anh</author>
    <author>Sky123.Org</author>
  </authors>
  <commentList>
    <comment ref="P82" authorId="0">
      <text>
        <r>
          <rPr>
            <b/>
            <sz val="8"/>
            <rFont val="Tahoma"/>
            <family val="2"/>
          </rPr>
          <t>Nguyen Anh:</t>
        </r>
        <r>
          <rPr>
            <sz val="8"/>
            <rFont val="Tahoma"/>
            <family val="2"/>
          </rPr>
          <t xml:space="preserve">
1440+50=1490</t>
        </r>
      </text>
    </comment>
    <comment ref="P85" authorId="0">
      <text>
        <r>
          <rPr>
            <b/>
            <sz val="8"/>
            <rFont val="Tahoma"/>
            <family val="2"/>
          </rPr>
          <t>Nguyen Anh:</t>
        </r>
        <r>
          <rPr>
            <sz val="8"/>
            <rFont val="Tahoma"/>
            <family val="2"/>
          </rPr>
          <t xml:space="preserve">
1440+50=1490</t>
        </r>
      </text>
    </comment>
    <comment ref="P89" authorId="0">
      <text>
        <r>
          <rPr>
            <b/>
            <sz val="8"/>
            <rFont val="Tahoma"/>
            <family val="2"/>
          </rPr>
          <t>Nguyen Anh:</t>
        </r>
        <r>
          <rPr>
            <sz val="8"/>
            <rFont val="Tahoma"/>
            <family val="2"/>
          </rPr>
          <t xml:space="preserve">
1440+50=1490</t>
        </r>
      </text>
    </comment>
    <comment ref="G96" authorId="1">
      <text>
        <r>
          <rPr>
            <b/>
            <sz val="9"/>
            <rFont val="Tahoma"/>
            <family val="2"/>
          </rPr>
          <t>Dự toán duyệt</t>
        </r>
        <r>
          <rPr>
            <sz val="9"/>
            <rFont val="Tahoma"/>
            <family val="2"/>
          </rPr>
          <t xml:space="preserve">
</t>
        </r>
      </text>
    </comment>
    <comment ref="G99" authorId="1">
      <text>
        <r>
          <rPr>
            <b/>
            <sz val="9"/>
            <rFont val="Tahoma"/>
            <family val="2"/>
          </rPr>
          <t>Dự toán duyệt</t>
        </r>
      </text>
    </comment>
    <comment ref="G102" authorId="1">
      <text>
        <r>
          <rPr>
            <b/>
            <sz val="9"/>
            <rFont val="Tahoma"/>
            <family val="2"/>
          </rPr>
          <t>Dự toán duyệt</t>
        </r>
      </text>
    </comment>
    <comment ref="P94" authorId="0">
      <text>
        <r>
          <rPr>
            <b/>
            <sz val="8"/>
            <rFont val="Tahoma"/>
            <family val="2"/>
          </rPr>
          <t>Nguyen Anh:</t>
        </r>
        <r>
          <rPr>
            <sz val="8"/>
            <rFont val="Tahoma"/>
            <family val="2"/>
          </rPr>
          <t xml:space="preserve">
1440+50=1490</t>
        </r>
      </text>
    </comment>
    <comment ref="P97" authorId="0">
      <text>
        <r>
          <rPr>
            <b/>
            <sz val="8"/>
            <rFont val="Tahoma"/>
            <family val="2"/>
          </rPr>
          <t>Nguyen Anh:</t>
        </r>
        <r>
          <rPr>
            <sz val="8"/>
            <rFont val="Tahoma"/>
            <family val="2"/>
          </rPr>
          <t xml:space="preserve">
1440+50=1490</t>
        </r>
      </text>
    </comment>
    <comment ref="P100" authorId="0">
      <text>
        <r>
          <rPr>
            <b/>
            <sz val="8"/>
            <rFont val="Tahoma"/>
            <family val="2"/>
          </rPr>
          <t>Nguyen Anh:</t>
        </r>
        <r>
          <rPr>
            <sz val="8"/>
            <rFont val="Tahoma"/>
            <family val="2"/>
          </rPr>
          <t xml:space="preserve">
1440+50=1490</t>
        </r>
      </text>
    </comment>
    <comment ref="P103" authorId="0">
      <text>
        <r>
          <rPr>
            <b/>
            <sz val="8"/>
            <rFont val="Tahoma"/>
            <family val="2"/>
          </rPr>
          <t>Nguyen Anh:</t>
        </r>
        <r>
          <rPr>
            <sz val="8"/>
            <rFont val="Tahoma"/>
            <family val="2"/>
          </rPr>
          <t xml:space="preserve">
1440+50=1490</t>
        </r>
      </text>
    </comment>
    <comment ref="P117" authorId="0">
      <text>
        <r>
          <rPr>
            <b/>
            <sz val="8"/>
            <rFont val="Tahoma"/>
            <family val="2"/>
          </rPr>
          <t>Nguyen Anh:</t>
        </r>
        <r>
          <rPr>
            <sz val="8"/>
            <rFont val="Tahoma"/>
            <family val="2"/>
          </rPr>
          <t xml:space="preserve">
1440+50=1490</t>
        </r>
      </text>
    </comment>
    <comment ref="P136" authorId="0">
      <text>
        <r>
          <rPr>
            <b/>
            <sz val="8"/>
            <rFont val="Tahoma"/>
            <family val="2"/>
          </rPr>
          <t>Nguyen Anh:</t>
        </r>
        <r>
          <rPr>
            <sz val="8"/>
            <rFont val="Tahoma"/>
            <family val="2"/>
          </rPr>
          <t xml:space="preserve">
1440+50=1490</t>
        </r>
      </text>
    </comment>
  </commentList>
</comments>
</file>

<file path=xl/sharedStrings.xml><?xml version="1.0" encoding="utf-8"?>
<sst xmlns="http://schemas.openxmlformats.org/spreadsheetml/2006/main" count="5642" uniqueCount="2317">
  <si>
    <t xml:space="preserve"> Huyện</t>
  </si>
  <si>
    <t>Sản lượng nước sản xuất bình quân 1 tháng</t>
  </si>
  <si>
    <t>Sản lượng nước thương phẩm (m3)</t>
  </si>
  <si>
    <t>Giá bán nước/m3)</t>
  </si>
  <si>
    <t>Số tiền thu từ bán nước bình quân 1 tháng (nghìn đòng)</t>
  </si>
  <si>
    <t>Các khoản chi phí bình quân trong 1 tháng (nghìn đồng)</t>
  </si>
  <si>
    <t>Chi lương</t>
  </si>
  <si>
    <t>Điện năng</t>
  </si>
  <si>
    <t>Hóa chất</t>
  </si>
  <si>
    <t>Sửa chữa nhỏ</t>
  </si>
  <si>
    <t xml:space="preserve">  Cẩm Khê</t>
  </si>
  <si>
    <t>Hệ thống Cấp Nước Sinh Hoạt thị trấn Sông Thao</t>
  </si>
  <si>
    <t>Nước sông</t>
  </si>
  <si>
    <t>DN</t>
  </si>
  <si>
    <t>Nước ngầm</t>
  </si>
  <si>
    <t>Cụm Tình Cương, Hiền Đa, Cát Trù</t>
  </si>
  <si>
    <t>Cụm Yên Tập, Phú Lạc</t>
  </si>
  <si>
    <t xml:space="preserve">  Đoan Hùng</t>
  </si>
  <si>
    <t>Tên công trình: Xí nghiệp cấp nước Đoan Hùng</t>
  </si>
  <si>
    <t>Hùng Quan</t>
  </si>
  <si>
    <t>Hệ thống Cấp nước sinh hoạt xã Hùng Quan</t>
  </si>
  <si>
    <t>Hệ thống Cấp nước sinh hoạt thôn Đồng Bích xã Hùng Long</t>
  </si>
  <si>
    <t>GĐ</t>
  </si>
  <si>
    <t>Chí Đám</t>
  </si>
  <si>
    <t>Hệ thống Cấp nước sinh hoạt xã Chí Đám</t>
  </si>
  <si>
    <t xml:space="preserve">  Hạ Hoà</t>
  </si>
  <si>
    <t>HTX DV</t>
  </si>
  <si>
    <t>Đan Thượng</t>
  </si>
  <si>
    <t>Hệ thống Cấp nước sinh hoạt khu trung tâm xã Đan Thượng</t>
  </si>
  <si>
    <t>Nước hồ</t>
  </si>
  <si>
    <t>Vĩnh Chân</t>
  </si>
  <si>
    <t>Tên công trình cấp nước TT xã Vĩnh Chân</t>
  </si>
  <si>
    <t>N sông</t>
  </si>
  <si>
    <t>HTX DV DN</t>
  </si>
  <si>
    <t>TT Hạ Hòa</t>
  </si>
  <si>
    <t>Hệ thống Cấp nước sinh hoạt thị trấn Hạ Hòa 2</t>
  </si>
  <si>
    <t>BQL CTCC</t>
  </si>
  <si>
    <t>Tên công trình: Công trình cấp nước sinh hoạt khu 6,7,8 xã Bằng Giã</t>
  </si>
  <si>
    <t xml:space="preserve">  Lâm Thao</t>
  </si>
  <si>
    <t>Hợp Hải</t>
  </si>
  <si>
    <t>Tên công trình: Công trình cấp nước sinh hoạt khu 3 xã Hợp Hải</t>
  </si>
  <si>
    <t>HTX DV ĐN</t>
  </si>
  <si>
    <t>Tên công trình: Công trình cấp nước sinh hoạt khu 5- Sơn Dương</t>
  </si>
  <si>
    <t>Thạch Sơn</t>
  </si>
  <si>
    <t>Tên công trình: Công trình cấp nước sinh hoạt xã Thạch Sơn</t>
  </si>
  <si>
    <t>Tên công trình: Công trình cấp nước sinh hoạt thị trấn Hùng Sơn</t>
  </si>
  <si>
    <t>Tên công trình: Công trình cấp nước sinh hoạt thị trấn Lâm Thao</t>
  </si>
  <si>
    <t>Bản Nguyên</t>
  </si>
  <si>
    <t>Tên công trình: Công trình cấp nước sinh hoạt xã Bản Nguyên</t>
  </si>
  <si>
    <t xml:space="preserve">  Phù Ninh</t>
  </si>
  <si>
    <t>Tên công trình: Xí nghiệp cấp nước sinh hoạt xã An đạo -   Phù Ninh</t>
  </si>
  <si>
    <t xml:space="preserve">  Tam Nông</t>
  </si>
  <si>
    <t xml:space="preserve">  Thanh Ba</t>
  </si>
  <si>
    <t xml:space="preserve">  Thanh Sơn</t>
  </si>
  <si>
    <t>Tên công trình: Công trình cấp nước sinh hoạt xóm Bành</t>
  </si>
  <si>
    <t>Nước suối</t>
  </si>
  <si>
    <t>Hương Cần</t>
  </si>
  <si>
    <t xml:space="preserve">Tên công trình: Công trình cấp nước sinh hoạt xóm Hem </t>
  </si>
  <si>
    <t>20000/hộ/năm</t>
  </si>
  <si>
    <t>Tên công trình: Công trình cấp nước sinh hoạt xóm Cạn</t>
  </si>
  <si>
    <t>Yên Lương</t>
  </si>
  <si>
    <t>Tên công trình: Công trình cấp nước sinh hoạt xóm Bồ Xồ</t>
  </si>
  <si>
    <t>Tên công trình: Công trình cấp nước sinh hoạt xóm Quất</t>
  </si>
  <si>
    <t>Tên công trình: Công trình cấp nước sinh hoạt xóm Náy</t>
  </si>
  <si>
    <t>Tên công trình: Công trình cấp nước sinh hoạt xóm Trại</t>
  </si>
  <si>
    <t>15000/hộ/tháng</t>
  </si>
  <si>
    <t>HTXV DV NN</t>
  </si>
  <si>
    <t>Yên Sơn</t>
  </si>
  <si>
    <t>Tên công trình: Công trình cấp nước sinh hoạt xóm Hạ Sơn</t>
  </si>
  <si>
    <t>2000/hộ/tháng</t>
  </si>
  <si>
    <t>Tên công trình: Công trình cấp nước sinh hoạt xóm Kết Bình</t>
  </si>
  <si>
    <t>Tên công trình: Công trình cấp nước sinh hoạt xóm Mỏ</t>
  </si>
  <si>
    <t>Tên công trình: Công trình cấp nước sinh hoạt xóm Rịa I</t>
  </si>
  <si>
    <t>Tên công trình: Công trình cấp nước sinh hoạt xóm Hà Biên</t>
  </si>
  <si>
    <t>CN</t>
  </si>
  <si>
    <t>Tên công trình: Công trình cấp nước sinh hoạt xóm Lánh</t>
  </si>
  <si>
    <t>Tên công trình: Công trình cấp nước sinh hoạt thị trấn Thanh Sơn</t>
  </si>
  <si>
    <t>Tên công trình: Công trình cấp nước sinh hoạt khu Ba Mỏ</t>
  </si>
  <si>
    <t>Giáp Lai</t>
  </si>
  <si>
    <t>Tên công trình: Công trình cấp nước sinh hoạt xóm Tân Long</t>
  </si>
  <si>
    <t>Thạch Khoán</t>
  </si>
  <si>
    <t>Tên công trình: Công trình cấp nước sinh hoạt xóm Chiềng</t>
  </si>
  <si>
    <t>Đông Cửu</t>
  </si>
  <si>
    <t>Tên công trình: Công trình cấp nước sinh hoạt xóm Vùn - Muỗng</t>
  </si>
  <si>
    <t>Lương Nha</t>
  </si>
  <si>
    <t>Tên công trình: Công trình cấp nước sinh hoạt xóm Thín</t>
  </si>
  <si>
    <t>Tân Lập</t>
  </si>
  <si>
    <t>Tên công trình: Công trình cấp nước sinh hoạt xóm Hà Thành</t>
  </si>
  <si>
    <t>Khả cửu</t>
  </si>
  <si>
    <t>Tên công trình: Công trình cấp nước sinh hoạt trung tâm</t>
  </si>
  <si>
    <t>Thượng Cửu</t>
  </si>
  <si>
    <t>Tên công trình: Công trình cấp nước sinh hoạt xóm Chúa</t>
  </si>
  <si>
    <t>Tên công trình: Công trình cấp nước sinh hoạt xóm Cảy</t>
  </si>
  <si>
    <t>Tên công trình: Công trình cấp nước sinh hoạt xóm Vì</t>
  </si>
  <si>
    <t>Tên công trình: Công trình cấp nước sinh hoạt xóm Mu</t>
  </si>
  <si>
    <t>Cự Thắng</t>
  </si>
  <si>
    <t>Tên công trình: Công trình cấp nước sinh hoạt khu Xuân Thắng</t>
  </si>
  <si>
    <t xml:space="preserve">  Thanh Thuỷ</t>
  </si>
  <si>
    <t>Tên công trình: Cấp Nước Sinh hoạt khu 5-Đồng Luận</t>
  </si>
  <si>
    <t>Tên công trình: Xí nghiệp cấp nước Thanh Thủy</t>
  </si>
  <si>
    <t>Phươợng Mao</t>
  </si>
  <si>
    <t>Tên công trình: Công trình cấp nước tái định cư - khu 3</t>
  </si>
  <si>
    <t xml:space="preserve">  Yên Lập</t>
  </si>
  <si>
    <t>Tên công trình: Cấp nước sinh hoạt Thắng quê</t>
  </si>
  <si>
    <t>Ngọc Lập</t>
  </si>
  <si>
    <t>Tên công trình: Cấp nước tự chảy Sống Châu (khu Đá bàn 1)</t>
  </si>
  <si>
    <t>Nga Hoàng</t>
  </si>
  <si>
    <t>Tên công trình: Cấp nước Sinh hoạt xón Khỉ Ròm</t>
  </si>
  <si>
    <t>Tên công trình: Cấp nước Sinh hoạt xón Đá Gấc</t>
  </si>
  <si>
    <t>Tên công trình: Cấp nước suối Bủ - K7</t>
  </si>
  <si>
    <t>Mỹ Lương</t>
  </si>
  <si>
    <t>Tên công trình: Cấp nước Rường Cao</t>
  </si>
  <si>
    <t>Tên công trình: Cấp nước thôn Xuân Hà</t>
  </si>
  <si>
    <t>8000/hộ/tháng</t>
  </si>
  <si>
    <t>Tên công trình: Cấp nước Xuân Nhật</t>
  </si>
  <si>
    <t>Tên công trình: Cấp nước thôn Tân Bình</t>
  </si>
  <si>
    <t>Tên công trình: Cấp nước thôn Vĩnh Thịnh</t>
  </si>
  <si>
    <t>Tên công trình: Cấp nước thôn Đồng An</t>
  </si>
  <si>
    <t>Thượng Long</t>
  </si>
  <si>
    <t>Tên công trình: Cấp nước thôn  Liên Sơn</t>
  </si>
  <si>
    <t>Tên công trình: Cấp nước thôn  Đồng Hù</t>
  </si>
  <si>
    <t>70000/hộ/năm</t>
  </si>
  <si>
    <t>Tên công trình: Cấp nước xóm Ói Lốc</t>
  </si>
  <si>
    <t>Tên công trình: Cấp nước Tái định cư</t>
  </si>
  <si>
    <t>Xuân An</t>
  </si>
  <si>
    <t>Tên công trình: Cấp nước tự chảy xóm Hon I</t>
  </si>
  <si>
    <t>Tên công trình: Cấp nước xóm Dần</t>
  </si>
  <si>
    <t>Tên công trình: Cấp nước xóm Vượng</t>
  </si>
  <si>
    <t>Tên công trình: Cấp nước xóm Hon II</t>
  </si>
  <si>
    <t>Mỹ Lung</t>
  </si>
  <si>
    <t>Tên công trình: Cấp nước sinh hoạt Xuân Thắng- Mỹ Lung</t>
  </si>
  <si>
    <t>Tên công trình: Cấp nước sinh hoạt khu 1A, 1B</t>
  </si>
  <si>
    <t>Tên công trình: Cấp Nước Sinh hoạt khu 5</t>
  </si>
  <si>
    <t>Tên công trình: Cấp nước thôn Minh Đù</t>
  </si>
  <si>
    <t>Xuân Viên</t>
  </si>
  <si>
    <t>Tên công trình: Cấp nước tự chảy Đồng Xuân 2</t>
  </si>
  <si>
    <t>24000/hộ/năm</t>
  </si>
  <si>
    <t>Tên công trình: Cấp nước xóm Vải Đạng</t>
  </si>
  <si>
    <t>10000/hộ/tháng</t>
  </si>
  <si>
    <t>Trung Sơn</t>
  </si>
  <si>
    <t>Tên công trình: Cấp nước xóm Dùng</t>
  </si>
  <si>
    <t>Tên công trình: Cấp nước xóm Thói</t>
  </si>
  <si>
    <t>Tên công trình: Cấp nước xóm Dích</t>
  </si>
  <si>
    <t>Tên công trình: Cấp nước thôn Đồng Măng</t>
  </si>
  <si>
    <t>Phúc Khánh</t>
  </si>
  <si>
    <t>Tên công trình: Cấp nước xóm Mát</t>
  </si>
  <si>
    <t>Tên công trình: Công trình cấp nước sinh hoạt khu Xuân Thắng - Mỹ Lương</t>
  </si>
  <si>
    <t>Thị xã Phú Thọ</t>
  </si>
  <si>
    <t>Tên công trình: Xí nghiệp cấp nước Phú Thọ</t>
  </si>
  <si>
    <t>Thành phố Việt Trì</t>
  </si>
  <si>
    <t>Dữu Lâu</t>
  </si>
  <si>
    <t>Nhà máy nước Việt Trì</t>
  </si>
  <si>
    <t xml:space="preserve">  Tân Sơn</t>
  </si>
  <si>
    <t>Kim Thượng</t>
  </si>
  <si>
    <t>Tên công trình cấp nước xóm Tân Hồi</t>
  </si>
  <si>
    <t>Tên công trình cấp nước xóm Hạ Bằng</t>
  </si>
  <si>
    <t>Tên công trình cấp nước xóm Xoan</t>
  </si>
  <si>
    <t>Tên công trình cấp nước xóm Tân Lập</t>
  </si>
  <si>
    <t>Tam Thanh</t>
  </si>
  <si>
    <t>Tên công trình cấp nước xóm Tảng</t>
  </si>
  <si>
    <t>Vinh Tiền</t>
  </si>
  <si>
    <t>Tên công trình cấp nước xóm Đồng Thi</t>
  </si>
  <si>
    <t>Tên công trình cấp nước xóm Đồng Khoai</t>
  </si>
  <si>
    <t>Tên công trình cấp nước xóm Bương Mận Gạo</t>
  </si>
  <si>
    <t>Tên công trình cấp nước xóm Đồng Giang</t>
  </si>
  <si>
    <t>Xuân Sơn</t>
  </si>
  <si>
    <t>Tên công trình cấp nước xóm Lấp</t>
  </si>
  <si>
    <t>Tên công trình cấp nước xóm  Dù</t>
  </si>
  <si>
    <t>Tên công trình cấp nước xóm Lạng</t>
  </si>
  <si>
    <t>Xuân Đài</t>
  </si>
  <si>
    <t>Tên công trình cấp nước xóm Nâu</t>
  </si>
  <si>
    <t>Tên công trình cấp nước xóm Mười</t>
  </si>
  <si>
    <t>500/hộ/tháng</t>
  </si>
  <si>
    <t>Tên công trình cấp nước xóm Mu</t>
  </si>
  <si>
    <t>Long Cốc</t>
  </si>
  <si>
    <t>Tên công trình cấp nước xóm Nhội</t>
  </si>
  <si>
    <t>Tên công trình cấp nước xóm Cạn</t>
  </si>
  <si>
    <t>Minh Đài</t>
  </si>
  <si>
    <t>Tên công trình cấp nước xóm Tân Thư</t>
  </si>
  <si>
    <t>5000/hộ/tháng</t>
  </si>
  <si>
    <t>Đồng Sơn</t>
  </si>
  <si>
    <t>Tên công trình cấp nước xóm Mới</t>
  </si>
  <si>
    <t>24000/hộ/tháng</t>
  </si>
  <si>
    <t>Thu Cúc</t>
  </si>
  <si>
    <t>Tên công trình cấp nước xóm Đá</t>
  </si>
  <si>
    <t>Tên công trình cấp nước xóm Giác Đụn</t>
  </si>
  <si>
    <t>30000/hộ/năm</t>
  </si>
  <si>
    <t>Tên công trình cấp nước xóm Ngả Hai</t>
  </si>
  <si>
    <t>Tên công trình cấp nước xóm Dáy</t>
  </si>
  <si>
    <t>Tên công trình cấp nước xóm Chiềng Một</t>
  </si>
  <si>
    <t>Tên công trình cấp nước sinh hoạt khu Giác Bông</t>
  </si>
  <si>
    <t>Tân Phú</t>
  </si>
  <si>
    <t>Tên công trình cấp nước sinh hoạt xóm Sặc Trong</t>
  </si>
  <si>
    <t>Tên công trình cấp nước sinh hoạt xóm Bương</t>
  </si>
  <si>
    <t>Tên công trình cấp nước sinh hoạt xóm Sận</t>
  </si>
  <si>
    <t>Thạch Kiệt</t>
  </si>
  <si>
    <t>Tên công trình cấp nước sinh hoạt xóm Lóng</t>
  </si>
  <si>
    <t>Tên công trình cấp nước sinh hoạt xóm Chiềng</t>
  </si>
  <si>
    <t>Tên công trình cấp nước sinh hoạt xóm Dùng 1,2</t>
  </si>
  <si>
    <t>Kiệt Sơn</t>
  </si>
  <si>
    <t>Tên công trình cấp nước sinh hoạt khu 1,2 (Đồng Than)</t>
  </si>
  <si>
    <t>Tên công trình cấp nước sinh hoạt khu 4,5</t>
  </si>
  <si>
    <t>Lai Đồng</t>
  </si>
  <si>
    <t>Tên công trình cấp nước sinh hoạt xóm Đống</t>
  </si>
  <si>
    <t>4000/hộ/tháng</t>
  </si>
  <si>
    <t>Xã Vực Trường</t>
  </si>
  <si>
    <t>Xã Đỗ Sơn</t>
  </si>
  <si>
    <t>Xã Hanh Cù</t>
  </si>
  <si>
    <t>Xã Phương Lĩnh</t>
  </si>
  <si>
    <t>Xã Võ Lao</t>
  </si>
  <si>
    <t>TT Thanh Sơn</t>
  </si>
  <si>
    <t>Xã Đồng Luận</t>
  </si>
  <si>
    <t>Xã Phượng Mao</t>
  </si>
  <si>
    <t>Xã Trung Thịnh</t>
  </si>
  <si>
    <t>Xã Tu Vũ</t>
  </si>
  <si>
    <t>Xã Chu Hóa</t>
  </si>
  <si>
    <t>Xã Hùng Lô</t>
  </si>
  <si>
    <t>Xã Phượng Lâu</t>
  </si>
  <si>
    <t>Xã Sông Lô</t>
  </si>
  <si>
    <t>Xã Tân Đức</t>
  </si>
  <si>
    <t>Xã Thanh Đình</t>
  </si>
  <si>
    <t>Xã Thụy Vân</t>
  </si>
  <si>
    <t>Xã Trưng Vương</t>
  </si>
  <si>
    <t>Xã Hà Lộc</t>
  </si>
  <si>
    <t>Xã Hà Thạch</t>
  </si>
  <si>
    <t>xã Phú Hộ</t>
  </si>
  <si>
    <t>Xã Thanh Minh</t>
  </si>
  <si>
    <t>Xã Thanh Vinh</t>
  </si>
  <si>
    <t>Xã Văn Lung</t>
  </si>
  <si>
    <t>Tên huyện/Xã</t>
  </si>
  <si>
    <t>Chỉ số 1: Tỷ lệ dân nông thôn sử dụng nước hợp vệ sinh</t>
  </si>
  <si>
    <t>Các nguồn cấp nước nhỏ lẻ và cấp nước khác</t>
  </si>
  <si>
    <t>Nước máy</t>
  </si>
  <si>
    <t>Số người</t>
  </si>
  <si>
    <t>Số người sử dụng nước HVS</t>
  </si>
  <si>
    <t>Tỷ lệ người dân sử dụng nước HVS %</t>
  </si>
  <si>
    <t xml:space="preserve">Số lượng
</t>
  </si>
  <si>
    <t>Số lượng HVS</t>
  </si>
  <si>
    <t>Số người sử dụng nguồn HVS</t>
  </si>
  <si>
    <t>H. Cẩm Khê</t>
  </si>
  <si>
    <t>TT Sông Thao</t>
  </si>
  <si>
    <t>Xã Cấp Dẫn</t>
  </si>
  <si>
    <t>Xã Cát Trù</t>
  </si>
  <si>
    <t>Xã Chương Xá</t>
  </si>
  <si>
    <t>Xã Điêu Lương</t>
  </si>
  <si>
    <t>Xã Đồng Cam</t>
  </si>
  <si>
    <t>Xã Đồng Lương</t>
  </si>
  <si>
    <t>Xã Hiền Đa</t>
  </si>
  <si>
    <t>Xã Ngô Xá</t>
  </si>
  <si>
    <t>Xã Phú Khê</t>
  </si>
  <si>
    <t>Xã Phú Lạc</t>
  </si>
  <si>
    <t>Xã Phùng Xá</t>
  </si>
  <si>
    <t>Xã Phượng Vĩ</t>
  </si>
  <si>
    <t>Xã Sơn Nga</t>
  </si>
  <si>
    <t>Xã Sơn Tình</t>
  </si>
  <si>
    <t>Xã Tạ Xá</t>
  </si>
  <si>
    <t>Xã Tam Sơn</t>
  </si>
  <si>
    <t>Xã Thụy Liễu</t>
  </si>
  <si>
    <t>Xã Tiên Lương</t>
  </si>
  <si>
    <t>Xã Tình Cương</t>
  </si>
  <si>
    <t>Xã Tùng Khê</t>
  </si>
  <si>
    <t>Xã Tuy Lộc</t>
  </si>
  <si>
    <t>Xã Văn Bán</t>
  </si>
  <si>
    <t>Xã Văn Khúc</t>
  </si>
  <si>
    <t>Xã Xương Thịnh</t>
  </si>
  <si>
    <t>Xã Yên Dưỡng</t>
  </si>
  <si>
    <t>Xã Yên Tập</t>
  </si>
  <si>
    <t>H.Đoan Hùng</t>
  </si>
  <si>
    <t>TT Đoan Hùng</t>
  </si>
  <si>
    <t>Xã Bằng Doãn</t>
  </si>
  <si>
    <t>Xã Bằng Luân</t>
  </si>
  <si>
    <t>Xã Ca Đình</t>
  </si>
  <si>
    <t>Xã Chân Mộng</t>
  </si>
  <si>
    <t>Xã Chí Đám</t>
  </si>
  <si>
    <t>Xã Đại Nghĩa</t>
  </si>
  <si>
    <t>Xã Đông Khê</t>
  </si>
  <si>
    <t>Xã Hùng Long</t>
  </si>
  <si>
    <t>Xã Hùng Quan</t>
  </si>
  <si>
    <t>Xã Hữu Đô</t>
  </si>
  <si>
    <t>Xã Minh Lương</t>
  </si>
  <si>
    <t>Xã Minh Phú</t>
  </si>
  <si>
    <t>Duy tu, sửa chữa thường xuyên các công trình cấp nước sinh hoạt do cộng đồng quản lý năm 2014</t>
  </si>
  <si>
    <t>Xã Minh Tiến</t>
  </si>
  <si>
    <t>Xã Nghinh Xuyên</t>
  </si>
  <si>
    <t>DLI 2.2 Các xã dự kiến đạt "Vệ sinh toàn xã" năm 2015</t>
  </si>
  <si>
    <t>DLI 1.2  Nhà tiêu hộ gia đình HVS cải tạo, xây mới tại các xã khác trong năm 2015</t>
  </si>
  <si>
    <t>Xã Ngọc Quan</t>
  </si>
  <si>
    <t>Xã Phong Phú</t>
  </si>
  <si>
    <t>Xã Phú Thứ</t>
  </si>
  <si>
    <t>Xã Phúc Lai</t>
  </si>
  <si>
    <t>Xã Phương Trung</t>
  </si>
  <si>
    <t>Xã Quế Lâm</t>
  </si>
  <si>
    <t>Xã Tây Cốc</t>
  </si>
  <si>
    <t>Xã Tiêu Sơn</t>
  </si>
  <si>
    <t>Xã Vân Đồn</t>
  </si>
  <si>
    <t>Xã Vân Du</t>
  </si>
  <si>
    <t>Xã Vụ Quang</t>
  </si>
  <si>
    <t>Xã Yên Kiện</t>
  </si>
  <si>
    <t>H. Hạ Hòa</t>
  </si>
  <si>
    <t>Xã ấm Hạ</t>
  </si>
  <si>
    <t>Xã Bằng Giã</t>
  </si>
  <si>
    <t>Xã Chính Công</t>
  </si>
  <si>
    <t>Xã Đại Phạm</t>
  </si>
  <si>
    <t>Xã Đan Hà</t>
  </si>
  <si>
    <t>Xã Đan Thượng</t>
  </si>
  <si>
    <t>Xã Động Lâm</t>
  </si>
  <si>
    <t>Xã Gia Điền</t>
  </si>
  <si>
    <t>Xã Hà Lương</t>
  </si>
  <si>
    <t>Xã Hậu Bổng</t>
  </si>
  <si>
    <t>Xã Hiền Lương</t>
  </si>
  <si>
    <t>Xã Hương Xạ</t>
  </si>
  <si>
    <t>Xã Lâm Lợi</t>
  </si>
  <si>
    <t>Xã Lang Sơn</t>
  </si>
  <si>
    <t>Xã Liên Phương</t>
  </si>
  <si>
    <t>Xã Minh Côi</t>
  </si>
  <si>
    <t>Xã Minh Hạc</t>
  </si>
  <si>
    <t>Xã Phụ Khánh</t>
  </si>
  <si>
    <t>Xã Phương Viên</t>
  </si>
  <si>
    <t>Xã Quân Khê</t>
  </si>
  <si>
    <t>Xã Văn Lang</t>
  </si>
  <si>
    <t>Xã Vô Tranh</t>
  </si>
  <si>
    <t>Xã Vụ Cầu</t>
  </si>
  <si>
    <t>Xã Xuân áng</t>
  </si>
  <si>
    <t>Xã Y Sơn</t>
  </si>
  <si>
    <t>Xã Yên Kỳ</t>
  </si>
  <si>
    <t>Xã Yên Luật</t>
  </si>
  <si>
    <t>H.Lâm Thao</t>
  </si>
  <si>
    <t>TT Lâm Thao</t>
  </si>
  <si>
    <t>Xã Bản Nguyên</t>
  </si>
  <si>
    <t>Xã Cao Xá</t>
  </si>
  <si>
    <t>Xã Thạch Sơn</t>
  </si>
  <si>
    <t>Xã Tứ Xã</t>
  </si>
  <si>
    <t>Xã Vĩnh Lại</t>
  </si>
  <si>
    <t>Xã Xuân Huy</t>
  </si>
  <si>
    <t>Xã Xuân Lũng</t>
  </si>
  <si>
    <t>H. Phù Ninh</t>
  </si>
  <si>
    <t>Xã An Đạo</t>
  </si>
  <si>
    <t>Xã Bảo Thanh</t>
  </si>
  <si>
    <t>Xã Bình Bộ</t>
  </si>
  <si>
    <t>Xã Gia Thanh</t>
  </si>
  <si>
    <t>Xã Hạ Giáp</t>
  </si>
  <si>
    <t>Lệ Mỹ</t>
  </si>
  <si>
    <t>Xã Liên Hoa</t>
  </si>
  <si>
    <t>Xã Phú Lộc</t>
  </si>
  <si>
    <t>Xã Phú Mỹ</t>
  </si>
  <si>
    <t>Xã Phú Nham</t>
  </si>
  <si>
    <t>Xã Tiên Du</t>
  </si>
  <si>
    <t>Xã Tiên Phú</t>
  </si>
  <si>
    <t>Xã Trạm Thản</t>
  </si>
  <si>
    <t>Xã Trị Quận</t>
  </si>
  <si>
    <t>Xã Trung Giáp</t>
  </si>
  <si>
    <t>Xã Tử Đà</t>
  </si>
  <si>
    <t>Xã Vĩnh Phú</t>
  </si>
  <si>
    <t>VI</t>
  </si>
  <si>
    <t>H. Tam Nông</t>
  </si>
  <si>
    <t>Thị trấn Hưng Hoá</t>
  </si>
  <si>
    <t>Xã Hiền Quan</t>
  </si>
  <si>
    <t>Xã Hồng Đà</t>
  </si>
  <si>
    <t>Xã Hùng Đô</t>
  </si>
  <si>
    <t>Xã Hương Nha</t>
  </si>
  <si>
    <t>Xã Hương Nộn</t>
  </si>
  <si>
    <t>Xã Phương Thịnh</t>
  </si>
  <si>
    <t>Xã Quang Húc</t>
  </si>
  <si>
    <t>Xã Thanh Uyên</t>
  </si>
  <si>
    <t>Xã Thọ Văn</t>
  </si>
  <si>
    <t>Xã Thượng Nông</t>
  </si>
  <si>
    <t>Xã Tứ Mỹ</t>
  </si>
  <si>
    <t>Xã Văn Lương</t>
  </si>
  <si>
    <t>Xã Xuân Quang</t>
  </si>
  <si>
    <t>VII</t>
  </si>
  <si>
    <t>H. Tân Sơn</t>
  </si>
  <si>
    <t>Xã Đồng Sơn</t>
  </si>
  <si>
    <t>Xã Kiệt Sơn</t>
  </si>
  <si>
    <t>Xã Kim Thượng</t>
  </si>
  <si>
    <t>Xã Lai Đồng</t>
  </si>
  <si>
    <t>Xã Long Cốc</t>
  </si>
  <si>
    <t>Xã Minh Đài</t>
  </si>
  <si>
    <t>Xã Mỹ Thuận</t>
  </si>
  <si>
    <t>Xã Tam Thanh</t>
  </si>
  <si>
    <t>Xã Tân Phú</t>
  </si>
  <si>
    <t>Xã Tân Sơn</t>
  </si>
  <si>
    <t>Xã Thạch Kiệt</t>
  </si>
  <si>
    <t>Xã Thu Cúc</t>
  </si>
  <si>
    <t>Xã Thu Ngạc</t>
  </si>
  <si>
    <t>Xã Văn Luông</t>
  </si>
  <si>
    <t>Xã Vinh Tiền</t>
  </si>
  <si>
    <t>Xã Xuân Đài</t>
  </si>
  <si>
    <t>Xã Xuân Sơn</t>
  </si>
  <si>
    <t>VIII</t>
  </si>
  <si>
    <t>H. Thanh Ba</t>
  </si>
  <si>
    <t>TT Thanh Ba</t>
  </si>
  <si>
    <t>Xã Chí Tiên</t>
  </si>
  <si>
    <t>Xã Đại An</t>
  </si>
  <si>
    <t>Xã Đỗ Xuyên</t>
  </si>
  <si>
    <t>Xã Đông Lĩnh</t>
  </si>
  <si>
    <t>Xã Đông Thành</t>
  </si>
  <si>
    <t>Xã Đồng Xuân</t>
  </si>
  <si>
    <t>Xã Hoàng Cương</t>
  </si>
  <si>
    <t>Xã Khải Xuân</t>
  </si>
  <si>
    <t>Xã Lương Lỗ</t>
  </si>
  <si>
    <t>Xã Mạn Lạn</t>
  </si>
  <si>
    <t>Xã Năng Yên</t>
  </si>
  <si>
    <t>Xã Ninh Dân</t>
  </si>
  <si>
    <t>Xã Quảng Nạp</t>
  </si>
  <si>
    <t>Xã Sơn Cương</t>
  </si>
  <si>
    <t>Xã Thái Ninh</t>
  </si>
  <si>
    <t>Xã Thanh Hà</t>
  </si>
  <si>
    <t>Xã Thanh Vân</t>
  </si>
  <si>
    <t>Xã Thanh Xá</t>
  </si>
  <si>
    <t>Xã Vân Lĩnh</t>
  </si>
  <si>
    <t>Xã Vũ Yển</t>
  </si>
  <si>
    <t>Xã Yển Khê</t>
  </si>
  <si>
    <t>Xã Yên Nội</t>
  </si>
  <si>
    <t>IX</t>
  </si>
  <si>
    <t>H.Thanh Sơn</t>
  </si>
  <si>
    <t>Xã Cự Đồng</t>
  </si>
  <si>
    <t>Xã Cự Thắng</t>
  </si>
  <si>
    <t>Xã Địch Quả</t>
  </si>
  <si>
    <t>Xã Đông Cửu</t>
  </si>
  <si>
    <t>Xã Giáp Lai</t>
  </si>
  <si>
    <t>Xã Hương Cần</t>
  </si>
  <si>
    <t>Xã Khả Cửu</t>
  </si>
  <si>
    <t>Xã Lương Nha</t>
  </si>
  <si>
    <t>Xã Sơn Hùng</t>
  </si>
  <si>
    <t>Xã Tân Lập</t>
  </si>
  <si>
    <t>Xã Tân Minh</t>
  </si>
  <si>
    <t>Xã Tất Thắng</t>
  </si>
  <si>
    <t>Xã Thạch Khoán</t>
  </si>
  <si>
    <t>Cao Xá</t>
  </si>
  <si>
    <t>Đỗ Sơn</t>
  </si>
  <si>
    <t>Xuân Lộc</t>
  </si>
  <si>
    <t>Hy Cương</t>
  </si>
  <si>
    <t>Xã Thắng Sơn</t>
  </si>
  <si>
    <t>Xã Thục Luyện</t>
  </si>
  <si>
    <t>Xã Thượng Cửu</t>
  </si>
  <si>
    <t>Xã Tinh Nhuệ</t>
  </si>
  <si>
    <t>Xã Văn Miếu</t>
  </si>
  <si>
    <t>Xã Võ Miếu</t>
  </si>
  <si>
    <t>Xã Yên Lãng</t>
  </si>
  <si>
    <t>Xã Yên Lương</t>
  </si>
  <si>
    <t>Xã Yên Sơn</t>
  </si>
  <si>
    <t>X</t>
  </si>
  <si>
    <t>H. Thanh Thủy</t>
  </si>
  <si>
    <t>Xã Bảo Yên</t>
  </si>
  <si>
    <t>Xã Đào Xá</t>
  </si>
  <si>
    <t>Xã Đoan Hạ</t>
  </si>
  <si>
    <t>Xã Hoàng Xá</t>
  </si>
  <si>
    <t>TT Thanh Thủy</t>
  </si>
  <si>
    <t>Xã Sơn Thủy</t>
  </si>
  <si>
    <t>Xã Tân Phương</t>
  </si>
  <si>
    <t>Xã Thạch Đồng</t>
  </si>
  <si>
    <t>Xã Trung Nghĩa</t>
  </si>
  <si>
    <t>Xã Xuân Lộc</t>
  </si>
  <si>
    <t>Xã Yến Mao</t>
  </si>
  <si>
    <t>XI</t>
  </si>
  <si>
    <t>Huyện Yên Lập</t>
  </si>
  <si>
    <t>TT Yên Lập</t>
  </si>
  <si>
    <t>Xã Đồng Lạc</t>
  </si>
  <si>
    <t>Xã Đồng Thịnh</t>
  </si>
  <si>
    <t>Xã Hưng Long</t>
  </si>
  <si>
    <t>Xã Lương Sơn</t>
  </si>
  <si>
    <t>Xã Minh Hòa</t>
  </si>
  <si>
    <t>Xã Mỹ Lung</t>
  </si>
  <si>
    <t>Xã Mỹ Lương</t>
  </si>
  <si>
    <t>Xã Nga Hoàng</t>
  </si>
  <si>
    <t>Xã Ngọc Đồng</t>
  </si>
  <si>
    <t>Xã Ngọc Lập</t>
  </si>
  <si>
    <t>Xã Phúc Khánh</t>
  </si>
  <si>
    <t>Xã Thượng Long</t>
  </si>
  <si>
    <t>Xã Trung Sơn</t>
  </si>
  <si>
    <t>Xã Xuân An</t>
  </si>
  <si>
    <t>Xã Xuân Thủy</t>
  </si>
  <si>
    <t>Xã Xuân Viên</t>
  </si>
  <si>
    <t>XII</t>
  </si>
  <si>
    <t>Xã Hy Cương</t>
  </si>
  <si>
    <t>Xã Kim Đức</t>
  </si>
  <si>
    <t>XIII</t>
  </si>
  <si>
    <t>Tổng toàn tỉnh</t>
  </si>
  <si>
    <t>Tỉ lệ hộ 
có nhà tiêu</t>
  </si>
  <si>
    <t>Tỉ lệ hộ 
có nhà tiêu HVS</t>
  </si>
  <si>
    <t>Tổng  toàn tỉnh</t>
  </si>
  <si>
    <t>Dự án vệ sinh và nước sạch cho các trường mầm non, tiểu học và THCS vùng nông thôn trên địa bàn tỉnh Phú Thọ (Năm 2013: 24 công trình; năm 2014: 20CT)</t>
  </si>
  <si>
    <t xml:space="preserve">Xây dựng công trình cấp nước, nhà vệ sinh HVS trạm y tế xã </t>
  </si>
  <si>
    <t>Vèn hç trî cña ng©n s¸ch ®Þa ph­¬ng</t>
  </si>
  <si>
    <t>II</t>
  </si>
  <si>
    <t>Vèn hç trî cña ng©n s¸ch TW</t>
  </si>
  <si>
    <t>I</t>
  </si>
  <si>
    <t>H¹ng môc</t>
  </si>
  <si>
    <t>TT</t>
  </si>
  <si>
    <t>KÕ ho¹ch</t>
  </si>
  <si>
    <t>Ghi chó</t>
  </si>
  <si>
    <t>CÊp n­íc</t>
  </si>
  <si>
    <t>ng­êi</t>
  </si>
  <si>
    <t>hé</t>
  </si>
  <si>
    <t>%</t>
  </si>
  <si>
    <t>VÖ sinh</t>
  </si>
  <si>
    <t>III</t>
  </si>
  <si>
    <t>c¸i</t>
  </si>
  <si>
    <t>IV</t>
  </si>
  <si>
    <t>M«i tr­êng</t>
  </si>
  <si>
    <t>6 th¸ng</t>
  </si>
  <si>
    <t>- Ch­¬ng tr×nh MTQG NS&amp;VSMTNT</t>
  </si>
  <si>
    <t>- WB</t>
  </si>
  <si>
    <r>
      <t xml:space="preserve">(Kèm theo Kế hoạch số: </t>
    </r>
    <r>
      <rPr>
        <b/>
        <i/>
        <sz val="12"/>
        <rFont val="Times New Roman"/>
        <family val="1"/>
      </rPr>
      <t xml:space="preserve">        </t>
    </r>
    <r>
      <rPr>
        <i/>
        <sz val="12"/>
        <rFont val="Times New Roman"/>
        <family val="1"/>
      </rPr>
      <t>/KH/SNN-CCTL, ngày         / 7 /2014 của Sở Nông nghiệp và PTNT Phú Thọ)</t>
    </r>
  </si>
  <si>
    <t>Kế hoạch năm 2014</t>
  </si>
  <si>
    <t>Cấp nước xã Vĩnh Chân, huyện Thanh Ba</t>
  </si>
  <si>
    <t xml:space="preserve">Hệ thống cấp nước SH  xã An Đạo, huyện Phù Ninh </t>
  </si>
  <si>
    <t>Cấp nước và vệ sinh trạm y tế xã</t>
  </si>
  <si>
    <t>Khối lượng thực hiện kế hoạch năm 2014 từ 01/01/2014 đến 30/6/2014</t>
  </si>
  <si>
    <t>Giải ngân kế hoạch năm 2014 từ 01/01/2014 đến 30/06/2014</t>
  </si>
  <si>
    <t>Ước khối lượng thực hiện kế hoạch năm 2014 từ 01/01/2014 đến 31/12/2014</t>
  </si>
  <si>
    <t>Ước giải ngân kế hoạch năm 2014 từ 01/01/2014 đến 31/01/2015</t>
  </si>
  <si>
    <t>Nhu cầu năm 2015</t>
  </si>
  <si>
    <t>Công trình nước sạch và nhà tiêu hợp vệ sinh cho các trường tiểu học và THCS các xã Hy cương, Hùng Lô, Sông Lô, Hợp Hải, Văn Luông, An Đạo, Phú Hộ, Chí Đám, Hương Nộn, Tử Đà, Vĩnh Lại, Cao Xá, Sơn Vy, Trưng Vương, Bình Bộ (Năm 2013)</t>
  </si>
  <si>
    <t>I.3</t>
  </si>
  <si>
    <t>Hệ thống cấp nước sinh hoạt các xã Xuân Áng, Chuế Lưu, huyện Hạ Hòa</t>
  </si>
  <si>
    <t>BIỂU 3: TÌNH HÌNH THỰC HIỆN CÁC DỰ ÁN THUỘC CÁC CHƯƠNG TRÌNH MỤC TIÊU QUỐC GIA SỬ DỤNG VỐN ĐTPT NGUỒN NSNN 
KẾ HOẠCH NĂM 2014 VÀ NHU CẦU NĂM 2015</t>
  </si>
  <si>
    <t>Cấp nước và VS trạm y tế</t>
  </si>
  <si>
    <t>2014-2015</t>
  </si>
  <si>
    <t>Xuân Huy - Lâm Thao</t>
  </si>
  <si>
    <t>Thạch Sơn - Lâm Thao</t>
  </si>
  <si>
    <t>Xuân Lũng - Lâm Thao</t>
  </si>
  <si>
    <t>Bảo Yên - Thanh Thủy</t>
  </si>
  <si>
    <t>Hoàng Xá - Thanh Thủy</t>
  </si>
  <si>
    <t>Trung Nghĩa - Thanh Thủy</t>
  </si>
  <si>
    <t>Hương Nộn - Tam Nông</t>
  </si>
  <si>
    <t>Thanh Uyên - Tam Nông</t>
  </si>
  <si>
    <t>Phú Lộc - Phù Ninh</t>
  </si>
  <si>
    <t>Xã Phù Ninh - Phù Ninh</t>
  </si>
  <si>
    <t>Xã Bảo Thanh - Phù Ninh</t>
  </si>
  <si>
    <t>Phú Nham - Phù Ninh</t>
  </si>
  <si>
    <t>Tiên  Du - Phù Ninh</t>
  </si>
  <si>
    <t>Bình Bộ - Phù Ninh</t>
  </si>
  <si>
    <t>An Đạo Phù Ninh</t>
  </si>
  <si>
    <t>Trung Giáp - Phù Ninh</t>
  </si>
  <si>
    <t>Phú Hộ - TX Phú Thọ</t>
  </si>
  <si>
    <t>Hà Thạch - TX Phú Thọ</t>
  </si>
  <si>
    <t>Xã Thái Ninh - Thanh Ba</t>
  </si>
  <si>
    <t>Chí Tiên - Thanh Ba</t>
  </si>
  <si>
    <t>Thụy Vân - Việt Trì</t>
  </si>
  <si>
    <t>Xã Hùng Lô - Việt Trì</t>
  </si>
  <si>
    <t>Kim Đức - Việt Trì</t>
  </si>
  <si>
    <t>Đồng Lương - Cẩm Khê</t>
  </si>
  <si>
    <t>Cát Trù - Cẩm Khê</t>
  </si>
  <si>
    <t>Thanh Nga - Cẩm Khê</t>
  </si>
  <si>
    <t>Sai Nga - Cẩm Khê</t>
  </si>
  <si>
    <t>Ngô Xá - Cẩm Khê</t>
  </si>
  <si>
    <t>Tổng số hộ có nhà tiêu HVS lũy tiến 2015</t>
  </si>
  <si>
    <t>Tổng số hộ sử dụng nhà tiêu lũy tiến 2015</t>
  </si>
  <si>
    <t>Số nhà tiêu HVS mới (trong năm 2015) xây dựng từ nguồn:</t>
  </si>
  <si>
    <t>2916/QĐ-UBND ngày 14/9/2011; 1362/QĐ-UBND ngày 03/6/2013</t>
  </si>
  <si>
    <t xml:space="preserve">2730/QĐ-UBND 12/10/2012; 1929/QĐ-UBND ngày 01/8/2013 </t>
  </si>
  <si>
    <t>13-14</t>
  </si>
  <si>
    <t>Cấp nước SH xã Đồng Thịnh</t>
  </si>
  <si>
    <t>Cấp nước SH xã Kinh Kệ</t>
  </si>
  <si>
    <t>Cấp nước SH xã Võ Miếu</t>
  </si>
  <si>
    <t>Cấp nước SH xã Đồng Luận</t>
  </si>
  <si>
    <t>Cấp nước SH xã Phú Nham</t>
  </si>
  <si>
    <t>Cấp nước SH xã Đỗ Xuyên</t>
  </si>
  <si>
    <t>Cấp nước SH xã Hùng Quan</t>
  </si>
  <si>
    <t>Cấp nước SH xã Quang Húc</t>
  </si>
  <si>
    <t>Cấp nước SH xã Chí Đám</t>
  </si>
  <si>
    <t>Cấp nước SH xã Bản Nguyên - Lâm Thao</t>
  </si>
  <si>
    <t>HT cấp nước SH các xã Yên Tập, Phú Lạc - Cẩm Khê</t>
  </si>
  <si>
    <t>1991/QĐ-CT ngày 04/7/2003</t>
  </si>
  <si>
    <t>580/QĐ-UBND ngày 1/3/2006</t>
  </si>
  <si>
    <t>1272/QĐ-UB ngày 26/4/2002</t>
  </si>
  <si>
    <t>44/QĐ-TT-KT ngày 8/5/2008 và 451/SNN ngày 25/6/2010</t>
  </si>
  <si>
    <t>190/QĐ-TT-KT ngày 29/2/2006</t>
  </si>
  <si>
    <t>2552/QĐ-UBND ngày 9/8/2002</t>
  </si>
  <si>
    <t>581/QĐ-UBND ngày 1/3/2006 và 423/QĐ-UBND ngày 30/1/2011</t>
  </si>
  <si>
    <t xml:space="preserve">3546/QĐ-UBND ngày 28/12/2007 và 196/QĐ-UBND ngày 17/1/2011 </t>
  </si>
  <si>
    <t>2218/QĐ-UBND ngày 8/8/2008</t>
  </si>
  <si>
    <t>3331/QĐ-UBND ngày 2/10/2003 và 2877/QĐ-UBND ngày 9/9/2011</t>
  </si>
  <si>
    <t xml:space="preserve">2217/QĐ-UBND ngày 8/8/2008 và 2878/QĐ-UBND ngày 9/9/2012 </t>
  </si>
  <si>
    <t xml:space="preserve">3533/QĐ-UBND ngày 3/11/2010 và 2851/QĐ-UBND ngày 8/9/2011 </t>
  </si>
  <si>
    <t>2003-2009</t>
  </si>
  <si>
    <t>2006-2010</t>
  </si>
  <si>
    <t>2008-2010</t>
  </si>
  <si>
    <t>2008-2011</t>
  </si>
  <si>
    <t>2003-2011</t>
  </si>
  <si>
    <t>2007-2011</t>
  </si>
  <si>
    <t>2009-2012</t>
  </si>
  <si>
    <t>2010-2012</t>
  </si>
  <si>
    <t>Nâng cấp, mở rộng các công trình cấp nước sinh hoạt nông thôn năm 2009 (7 công trình thuộc các xã Vĩnh Lại, Võ Miếu, Tân Lập, Phương Xá, Hoàng Xá, Vũ Yển, Lương Lỗ)</t>
  </si>
  <si>
    <t>Hệ thống cấp nước xã Kim Thượng - Tân Sơn</t>
  </si>
  <si>
    <t xml:space="preserve">2148/QĐ-UBND ngày 3/8/2009 và 4258/QĐ-UBND ngày 17/12/2010 </t>
  </si>
  <si>
    <t>3353/QĐ-UBND ngày 26/10/2011 và 1353/QĐ-UBND ngày 31/5/2013</t>
  </si>
  <si>
    <t>2011-2013</t>
  </si>
  <si>
    <t>2580/QĐ-UBND ngày 09/8/2011 và 393/QĐ-SNN ngày 31/8/2012</t>
  </si>
  <si>
    <t>Hệ thống thu gom xử lý rác thải cho các xã điểm xây dựng nông thôn mới gồm Sơn Dương - Lâm Thao và Đồng Luận - Thanh Thủy.</t>
  </si>
  <si>
    <t>Lâm Thao; Thanh Thủy</t>
  </si>
  <si>
    <t>683/QĐ-SNN ngày 30/10/2013</t>
  </si>
  <si>
    <t>- Ch­¬ng tr×nh, dù ¸n kh¸c (ghi cô thÓ)</t>
  </si>
  <si>
    <t>- Tæ chøc phi chÝnh phñ</t>
  </si>
  <si>
    <t>- …</t>
  </si>
  <si>
    <t>- Unicef</t>
  </si>
  <si>
    <t>Tæng céng:</t>
  </si>
  <si>
    <t>Vèn d©n ®ãng gãp</t>
  </si>
  <si>
    <t>Vèn kh¸c</t>
  </si>
  <si>
    <t>§¬n</t>
  </si>
  <si>
    <t>vÞ</t>
  </si>
  <si>
    <t>- ADB</t>
  </si>
  <si>
    <t>­íc c¶</t>
  </si>
  <si>
    <t>n¨m</t>
  </si>
  <si>
    <t>s¹ch vµ nhµ tiªu hîp vÖ sinh</t>
  </si>
  <si>
    <t>Vèn hç trî Quèc tÕ (ghi cô thÓ-nÕu cã)</t>
  </si>
  <si>
    <t>A</t>
  </si>
  <si>
    <t>B</t>
  </si>
  <si>
    <t>Vèn tÝn dông ­u ®·i</t>
  </si>
  <si>
    <t>Tr¹m y tÕ (t­¬ng tù môc 1)</t>
  </si>
  <si>
    <t>Tæng d©n sè n«ng th«n</t>
  </si>
  <si>
    <t>Tæng sè hé d©n n«ng th«n</t>
  </si>
  <si>
    <t>C¸c c«ng tr×nh c«ng céng cã c«ng tr×nh cÊp n­íc</t>
  </si>
  <si>
    <t>Sè d©n ®­îc cÊp n­íc HVS trong n¨m</t>
  </si>
  <si>
    <t>Luü tÝch sè d©n ®­îc cÊp n­íc HVS</t>
  </si>
  <si>
    <t>Tû lÖ % sè d©n ®­îc cÊp n­íc HVS trong n¨m</t>
  </si>
  <si>
    <t>Luü tÝch tû lÖ % sè d©n ®­îc cÊp n­íc HVS</t>
  </si>
  <si>
    <t>Vèn t­ nh©n ®Çu t­</t>
  </si>
  <si>
    <t>Tæng sè ng­êi nghÌo n«ng th«n</t>
  </si>
  <si>
    <t>Tû lÖ % sè ng­êi nghÌo ®­îc cÊp n­íc HVS trong n¨m</t>
  </si>
  <si>
    <t>Luü tÝch tû lÖ % sè ng­êi nghÌo ®­îc cÊp n­íc HVS</t>
  </si>
  <si>
    <t>- JICA</t>
  </si>
  <si>
    <t>Sè d©n ®­îc cÊp n­íc QC02 trong n¨m</t>
  </si>
  <si>
    <t>Luü tÝch sè d©n ®­îc cÊp n­íc QC02</t>
  </si>
  <si>
    <t>Tû lÖ % sè d©n ®­îc cÊp n­íc QC02 trong n¨m</t>
  </si>
  <si>
    <t>Luü tÝch tû lÖ % sè d©n ®­îc cÊp n­íc QC02</t>
  </si>
  <si>
    <t>Tû lÖ % sè ng­êi nghÌo ®­îc cÊp n­íc QC02 trong n¨m</t>
  </si>
  <si>
    <t>Luü tÝch tû lÖ % sè ng­êi nghÌo ®­îc cÊp n­íc QC02</t>
  </si>
  <si>
    <t>Tr­êng häc mÇn non</t>
  </si>
  <si>
    <t>Tr­êng häc phæ th«ng (t­¬ng tù môc 1)</t>
  </si>
  <si>
    <t>Biogas</t>
  </si>
  <si>
    <t>Địa điểm XD</t>
  </si>
  <si>
    <t>Năng lực thiết kế</t>
  </si>
  <si>
    <t>Thời gian KC-HT</t>
  </si>
  <si>
    <t>Quyết định đầu tư</t>
  </si>
  <si>
    <t>Ghi chú</t>
  </si>
  <si>
    <t xml:space="preserve">Số quyết định </t>
  </si>
  <si>
    <t xml:space="preserve">TMĐT </t>
  </si>
  <si>
    <t>Tổng số</t>
  </si>
  <si>
    <t>Trong đó: NSNN</t>
  </si>
  <si>
    <t>Trong nước</t>
  </si>
  <si>
    <t>Ngoài nước</t>
  </si>
  <si>
    <t>ĐTPT</t>
  </si>
  <si>
    <t>Sự nghiệp</t>
  </si>
  <si>
    <t>TỔNG SỐ</t>
  </si>
  <si>
    <t>………..</t>
  </si>
  <si>
    <t>Giải thích thông tin ghi các cột:</t>
  </si>
  <si>
    <t>Cột (1) là số thứ tự</t>
  </si>
  <si>
    <t>Danh mục các hoạt động, dự án</t>
  </si>
  <si>
    <t>Đơn vị: Triệu đồng</t>
  </si>
  <si>
    <t>vệ sinh trường học</t>
  </si>
  <si>
    <t>vệ sinh trạm y tế</t>
  </si>
  <si>
    <t>Vệ sinh hộ gia đình</t>
  </si>
  <si>
    <t>Qui hoạch</t>
  </si>
  <si>
    <t>Khác</t>
  </si>
  <si>
    <t>Danh mục dự án</t>
  </si>
  <si>
    <t>Trong đó: Đầu tư từ NSNN</t>
  </si>
  <si>
    <t>Vốn sự nghiệp</t>
  </si>
  <si>
    <t>Vốn đầu tư phát triển</t>
  </si>
  <si>
    <t>Dự án chuyển tiếp</t>
  </si>
  <si>
    <t>Cột (3) là địa điểm xây dựng</t>
  </si>
  <si>
    <t>Cột (4) là năng lực thiết kế theo quyết định đầu tư</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</si>
  <si>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</si>
  <si>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</si>
  <si>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</si>
  <si>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</si>
  <si>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Tđó: vốn ĐTPT nguồn NSNN</t>
  </si>
  <si>
    <t>Dự án hoàn thành</t>
  </si>
  <si>
    <t>Cột (2) là danh mục dự án sử dụng vốn ĐTPT nguồn NSNN thuộc Chương trình MTQG Nước sạch &amp;VSMTNT</t>
  </si>
  <si>
    <t>Mục tiêu/Dự án….</t>
  </si>
  <si>
    <t>IEC</t>
  </si>
  <si>
    <t>Đtạo  năng lực</t>
  </si>
  <si>
    <t>Vận hành bdưỡng</t>
  </si>
  <si>
    <t>BIỂU 2: KẾT QUẢ THỰC HIỆN VÀ KẾ HOẠCH VỀ NGUỒN VỐN</t>
  </si>
  <si>
    <t>Sè tr­êng häc mÇm non cã c«ng tr×nh</t>
  </si>
  <si>
    <t>Tæng sè tr­êng häc mÇm non</t>
  </si>
  <si>
    <t>Luü tÝch sè tr­êng häc mÇm non cã c«ng tr×nh</t>
  </si>
  <si>
    <t>Tû lÖ % sè tr­êng häc mÇm non cã c«ng tr×nh</t>
  </si>
  <si>
    <t>Luü tÝch tû lÖ % sè tr­êng häc mÇm non cã c«ng tr×nh</t>
  </si>
  <si>
    <t>Giám sát đanh giá</t>
  </si>
  <si>
    <t>Sè hé gia ®×nh cã chuång tr¹i ch¨n nu«i HVS</t>
  </si>
  <si>
    <t>Sè hé gia ®×nh (HG§) cã nhµ tiªu HVS trong n¨m</t>
  </si>
  <si>
    <t>Luü tÝch sè HG§ cã nhµ tiªu HVS</t>
  </si>
  <si>
    <t>Tû lÖ % sè HG§ cã nhµ tiªu HVS trong n¨m</t>
  </si>
  <si>
    <t>Luü tÝch tû lÖ % sè HG§ cã nhµ tiªu HVS</t>
  </si>
  <si>
    <t>II.3</t>
  </si>
  <si>
    <t>III.1</t>
  </si>
  <si>
    <t>III.2</t>
  </si>
  <si>
    <t>III.3</t>
  </si>
  <si>
    <t>Tû lÖ % sè HG§ nghÌo cã nhµ tiªu HVS trong n¨m</t>
  </si>
  <si>
    <t>Luü tÝch tû lÖ % sè HG§ nghÌo cã nhµ tiªu HVS</t>
  </si>
  <si>
    <t>Tû lÖ % sè HG§ cã chuång tr¹i ch¨n nu«i HVS</t>
  </si>
  <si>
    <t>Tû lÖ % sè HG§ nghÌo cã chuång tr¹i ch¨n nu«i HVS</t>
  </si>
  <si>
    <t>Tû lÖ % sè HG§ ch¨n nu«i cã hÇm Biogas</t>
  </si>
  <si>
    <t>Tû lÖ % sè HG§ nghÌo ch¨n nu«i cã hÇm Biogas</t>
  </si>
  <si>
    <t>BIỂU 1: KẾT QUẢ THỰC HIỆN VÀ KẾ HOẠCH VỀ MỤC TIÊU</t>
  </si>
  <si>
    <t>2014</t>
  </si>
  <si>
    <r>
      <t xml:space="preserve">- §an M¹ch, </t>
    </r>
    <r>
      <rPr>
        <sz val="13"/>
        <rFont val=".VnTimeH"/>
        <family val="2"/>
      </rPr>
      <t>ó</t>
    </r>
    <r>
      <rPr>
        <sz val="13"/>
        <rFont val=".VnTime"/>
        <family val="2"/>
      </rPr>
      <t>c, DFID</t>
    </r>
  </si>
  <si>
    <t>Cột (9) là tổng số các nguồn vốn bố trí cho dự án trong kế hoạch năm 2012</t>
  </si>
  <si>
    <t>Cột (10) là tổng số vốn đầu tư phát triển nguồn NSNN bố trí cho dự án trong kế hoạch năm 2012</t>
  </si>
  <si>
    <t>Cột (11) là tổng số khối lượng thực hiện các nguồn vốn kế hoạch năm 2012 bố trí cho chương trình/mục tiêu từ 01/01/2012 đến 30/6/2012</t>
  </si>
  <si>
    <t>Cột (12) là khối lượng thực hiện vốn ĐTPT nguồn vốn NSNN kế hoạch năm 2012 bố trí cho chương trình/mục tiêu từ 01/01/2012 đến 30/6/2012</t>
  </si>
  <si>
    <t>Cột (13) là tổng số giải ngân các nguồn vốn kế hoạch năm 2012 bố trí cho chương trình/mục tiêu từ 01/01/2012 đến 30/6/2012</t>
  </si>
  <si>
    <t>Cột (14) là giải ngân vốn ĐTPT nguồn vốn NSNN kế hoạch năm 2012 bố trí cho chương trình/mục tiêu từ 01/01/2012 đến 30/6/2012</t>
  </si>
  <si>
    <t>Cột (15) là tổng số khối lượng thực hiện các nguồn vốn kế hoạch năm 2012 bố trí cho chương trình/mục tiêu từ 01/01/2012 đến 31/12/2012</t>
  </si>
  <si>
    <t>Cột (16) là khối lượng thực hiện vốn ĐTPT nguồn vốn NSNN kế hoạch năm 2012 bố trí cho chương trình/mục tiêu từ 01/01/2012 đến 31/12/2012</t>
  </si>
  <si>
    <t>Cột (17) là tổng số giải ngân các nguồn vốn kế hoạch năm 2012 bố trí cho chương trình/mục tiêu từ 01/01/2012 đến 31/01/2013</t>
  </si>
  <si>
    <t>Cột (18) là giải ngân vốn ĐTPT nguồn vốn NSNN kế hoạch năm 2012 bố trí cho chương trình/mục tiêu 01/01/2012 đến 31/01/2013</t>
  </si>
  <si>
    <t>Cột (19) là tổng số nhu cầu từ các nguồn vốn của chương trình/mục tiêu năm 2013</t>
  </si>
  <si>
    <t>Cột (20) là nhu cầu vốn ĐTPT nguồn vốn NSNN kế hoạch năm 2013 của chương trình/mục tiêu</t>
  </si>
  <si>
    <t>Nhu cầu năm 2014</t>
  </si>
  <si>
    <t>Dự án 1</t>
  </si>
  <si>
    <t>Dự án 2</t>
  </si>
  <si>
    <t>Dự án 3</t>
  </si>
  <si>
    <t>Đơn vị thực hiện</t>
  </si>
  <si>
    <t>Thùc hiÖn 2013</t>
  </si>
  <si>
    <t>Kế hoạch đã bố trí đến hết năm 2012</t>
  </si>
  <si>
    <t>Kế hoạch năm 2013</t>
  </si>
  <si>
    <t>Khối lượng thực hiện từ 01/01/2013 đến 31/12/2013</t>
  </si>
  <si>
    <t>Giải ngân từ 01/01/2013 đến 31/01/2014</t>
  </si>
  <si>
    <t>BIỂU 4: TỔNG HỢP TÌNH HÌNH THỰC HIỆN VỐN CHƯƠNG TRÌNH MỤC TIÊU QUỐC GIA KẾ HOẠCH NĂM 2013 VÀ NHU CẦU NĂM 2014</t>
  </si>
  <si>
    <t>Công trình cấp nước</t>
  </si>
  <si>
    <t>Công trình cấp nước và</t>
  </si>
  <si>
    <t>Chuồng trại chăn nuôi</t>
  </si>
  <si>
    <t>Năm 2013</t>
  </si>
  <si>
    <t>Năm 2014</t>
  </si>
  <si>
    <t>Dân số</t>
  </si>
  <si>
    <t>Số lượng</t>
  </si>
  <si>
    <t>Tên xã - Huyện</t>
  </si>
  <si>
    <t>Số hộ</t>
  </si>
  <si>
    <t>Nhà tiêu hộ gia đình</t>
  </si>
  <si>
    <t>Trường có nước sạch và nhà tiêu HVS</t>
  </si>
  <si>
    <t>Trạm y tế có nước sạch và nhà tiêu HVS</t>
  </si>
  <si>
    <t>Tổng số hộ có nhà tiêu HVS lũy tiến 2013</t>
  </si>
  <si>
    <t>Trợ cấp</t>
  </si>
  <si>
    <t>Vay vốn NHCSXH</t>
  </si>
  <si>
    <t>Tự đầu tư</t>
  </si>
  <si>
    <t>Tổng số xây mới</t>
  </si>
  <si>
    <t>Tổng số trường học</t>
  </si>
  <si>
    <t>Sô trường xây/cải tạo mới</t>
  </si>
  <si>
    <t>% mới</t>
  </si>
  <si>
    <t>Mới</t>
  </si>
  <si>
    <t>6 = 3+4+5</t>
  </si>
  <si>
    <t>TỔNG 2.2</t>
  </si>
  <si>
    <t>TỔNG 1.2</t>
  </si>
  <si>
    <t>TỔNG CỘNG</t>
  </si>
  <si>
    <t>DLI 2.2 Các xã dự kiến đạt "Vệ sinh toàn xã" năm 2014</t>
  </si>
  <si>
    <t>DLI 1.2  Nhà tiêu hộ gia đình HVS cải tạo, xây mới tại các xã khác trong năm 2014</t>
  </si>
  <si>
    <t>Số nhà tiêu HVS mới (trong năm 2014) xây dựng từ nguồn:</t>
  </si>
  <si>
    <t>Tổng số hộ có nhà tiêu HVS lũy tiến 2014</t>
  </si>
  <si>
    <t>Tổng số hộ sử dụng nhà tiêu lũy tiến 2014</t>
  </si>
  <si>
    <t>Hoạt động</t>
  </si>
  <si>
    <t>Đấu nối</t>
  </si>
  <si>
    <t>(cái)</t>
  </si>
  <si>
    <t>Dự án cấp nước ….</t>
  </si>
  <si>
    <t>BIỂU SỐ 7: TIẾN ĐỘ THỰC HIỆN CÁC DỰ ÁN CẤP NƯỚC</t>
  </si>
  <si>
    <t>Kinh phí</t>
  </si>
  <si>
    <t>(triệu đồng)</t>
  </si>
  <si>
    <t>Năm 201…</t>
  </si>
  <si>
    <t>…</t>
  </si>
  <si>
    <r>
      <t xml:space="preserve">(Kèm theo công văn số </t>
    </r>
    <r>
      <rPr>
        <b/>
        <i/>
        <sz val="14"/>
        <rFont val="Times New Roman"/>
        <family val="1"/>
      </rPr>
      <t>2191</t>
    </r>
    <r>
      <rPr>
        <i/>
        <sz val="14"/>
        <rFont val="Times New Roman"/>
        <family val="1"/>
      </rPr>
      <t xml:space="preserve">/BNN-TCTL ngày </t>
    </r>
    <r>
      <rPr>
        <b/>
        <i/>
        <sz val="14"/>
        <rFont val="Times New Roman"/>
        <family val="1"/>
      </rPr>
      <t>03</t>
    </r>
    <r>
      <rPr>
        <i/>
        <sz val="14"/>
        <rFont val="Times New Roman"/>
        <family val="1"/>
      </rPr>
      <t>/7/2013 của Bộ Nông nghiệp &amp;PTNT)</t>
    </r>
  </si>
  <si>
    <t>Cẩm khê</t>
  </si>
  <si>
    <t>Hạ Hoà</t>
  </si>
  <si>
    <t>Lâm Thao</t>
  </si>
  <si>
    <t>Cẩm Khê</t>
  </si>
  <si>
    <t>Toàn tỉnh</t>
  </si>
  <si>
    <t>Tân Sơn</t>
  </si>
  <si>
    <t>Lâm Thao; Thanh Thuỷ</t>
  </si>
  <si>
    <t>2341/QĐ-UBND ngày 18/8/2008</t>
  </si>
  <si>
    <t>3547/QĐ-UBND ngày 28/12/2007</t>
  </si>
  <si>
    <t>2354/QĐ-UBND ngày 6/9/2012</t>
  </si>
  <si>
    <t>2851/QĐ-UBND ngày 8/9/2011</t>
  </si>
  <si>
    <t>393/QĐ-SNN ngày 31/8/2012</t>
  </si>
  <si>
    <t>Phù Ninh</t>
  </si>
  <si>
    <t>Hệ thống cấp nước sinh hoạt cho các xã: Y Sơn, Ấm Hạ, Minh Hạc, Lang Sơn, Mai Tùng</t>
  </si>
  <si>
    <t>Hệ thống cấp nước sinh hoạt cho các xã Hồng Đà, Thượng Nông, Dậu Dương, Cổ Tiết, Thọ Văn, Dị Nậu, Hương Nộn</t>
  </si>
  <si>
    <t>Hệ thống cấp nước SH  xã Trung Nghĩa (Cấp nước sinh hoạt cho các xã: Trung Nghĩa, Đoan Hạ, Hoàng Xá, Phượng Mao, Yến Mao, Tu Vũ, Bảo Yên)</t>
  </si>
  <si>
    <t>Hạ Hòa</t>
  </si>
  <si>
    <t>Tam Nông</t>
  </si>
  <si>
    <t>Thanh Thủy</t>
  </si>
  <si>
    <t>1391/QĐ-UBND 05/6/2013</t>
  </si>
  <si>
    <t>2731/QĐ-UBND 12/10/2012</t>
  </si>
  <si>
    <t>3005/QĐ-UBND 26/9/2011</t>
  </si>
  <si>
    <t xml:space="preserve"> 09-11</t>
  </si>
  <si>
    <t xml:space="preserve"> 06-11</t>
  </si>
  <si>
    <t xml:space="preserve"> 09-12</t>
  </si>
  <si>
    <t xml:space="preserve"> 09-15</t>
  </si>
  <si>
    <t xml:space="preserve"> 09-13</t>
  </si>
  <si>
    <t xml:space="preserve"> 12-13</t>
  </si>
  <si>
    <t>Hệ thống cấp nước SH  xã Thượng Long (Cấp nước sinh hoạt cho các xã: Thượng Long, Hưng Long, Đồng Thịnh, Phúc Khánh, TT Yên Lập)</t>
  </si>
  <si>
    <t>Yên Lập</t>
  </si>
  <si>
    <t>3007/QĐ-UBND 26/9/2011</t>
  </si>
  <si>
    <t>Hệ thống cấp nước sinh hoạt cho các xã Xuân Áng, Chuế Lưu</t>
  </si>
  <si>
    <t>Tập huấn, tăng cường nâng cao năng lực cho cán bộ triển khai thực hiện chương trình</t>
  </si>
  <si>
    <t>Truyền thông về nước sạch và VSMT nông thôn</t>
  </si>
  <si>
    <t>Sở Y tế</t>
  </si>
  <si>
    <t>Nâng cấp, mở rộng các công trình cấp nước sinh hoạt nông thôn năm 2009</t>
  </si>
  <si>
    <t>Hệ thống cấp nước SH xã Đan Thượng</t>
  </si>
  <si>
    <t>Hệ thống cấp nước SH xã Tân Phú, huyện Tân Sơn</t>
  </si>
  <si>
    <t>UBND huyện Tân Sơn</t>
  </si>
  <si>
    <t xml:space="preserve"> - Vốn nước ngoài</t>
  </si>
  <si>
    <t>Trong đó:                           - Vốn trong nước</t>
  </si>
  <si>
    <t>44/QĐ-TT-KT ngày 8/5/2008</t>
  </si>
  <si>
    <t>06-10</t>
  </si>
  <si>
    <t>2009-2011</t>
  </si>
  <si>
    <t xml:space="preserve"> 11-15</t>
  </si>
  <si>
    <t>3140/QĐ-UBND ngày 14/11/2012</t>
  </si>
  <si>
    <t>PHỤ LỤC 6: DANH SÁCH CÁC CÔNG TRÌNH CẤP NƯỚC TẬP TRUNG ĐÃ XÂY DỰNG</t>
  </si>
  <si>
    <t>S¶n l­îng n­íc s¶n xuÊt bq 1 th¸ng (m3)</t>
  </si>
  <si>
    <t>Hỗ trợ các hộ nghèo và gia đình chính sách xây dựng nhà tiêu HVS hộ gia đình</t>
  </si>
  <si>
    <t>Xây dựng công trình cấp nước, nhà vệ sinh HVS trạm y tế xã</t>
  </si>
  <si>
    <t>Cấp nước</t>
  </si>
  <si>
    <t>Nâng cấp, mở rộng các công trình cấp nước</t>
  </si>
  <si>
    <t>DỰ ÁN 1</t>
  </si>
  <si>
    <t>1.1</t>
  </si>
  <si>
    <t>1.2</t>
  </si>
  <si>
    <t>1.3</t>
  </si>
  <si>
    <t xml:space="preserve">Cấp nước xã Vĩnh Chân, huyện Thanh Ba </t>
  </si>
  <si>
    <t>1.4</t>
  </si>
  <si>
    <t>Hệ thống cấp nước SH xã Tình Cương, Hiền Đa, Cát Trù, huyện Cẩm Khê</t>
  </si>
  <si>
    <t>1.5</t>
  </si>
  <si>
    <t xml:space="preserve">Cấp nước xã Bản Nguyên </t>
  </si>
  <si>
    <t>1.6</t>
  </si>
  <si>
    <t>Cấp nước xã Yên Tập, Phú Lạc, huyện Cẩm Khê</t>
  </si>
  <si>
    <t>Cấp nước xã Kim Thượng</t>
  </si>
  <si>
    <t>Cấp nước xã Tạ Xá, Hương Lung, Sơn Tình huyện Cẩm Khê</t>
  </si>
  <si>
    <t>Cấp nước xã Phú Khê, Sai Nga huyện Cẩm Khê</t>
  </si>
  <si>
    <t xml:space="preserve">Hệ thống cấp nước SH  xã An Đạo </t>
  </si>
  <si>
    <t xml:space="preserve">Dự án xử lý rác thải nông thôn </t>
  </si>
  <si>
    <t>Hệ thống thu gom rác thải cho 02 xã điểm xây dựng nông thôn mới (Sơn Dương, Đồng Luận)</t>
  </si>
  <si>
    <t>Dự án cấp nước và vệ sinh trường học</t>
  </si>
  <si>
    <t>DỰ ÁN 2</t>
  </si>
  <si>
    <t>Dự án cấp nước và vệ sinh trạm y tế</t>
  </si>
  <si>
    <t>Hỗ trợ các hộ nghèo và gia đình chính sách xây dựng nhà tiêu hợp vệ sinh hộ gia đình</t>
  </si>
  <si>
    <t>Hỗ trợ xây dựng nhà tiêu hợp vệ sinh hộ gia đình</t>
  </si>
  <si>
    <t>C</t>
  </si>
  <si>
    <t>DỰ ÁN 3</t>
  </si>
  <si>
    <t>IEC (Truyền thông)</t>
  </si>
  <si>
    <t>Hoạt động truyền thông, tuyên truyền về y tế</t>
  </si>
  <si>
    <t xml:space="preserve"> - Chi quản lý điều hành</t>
  </si>
  <si>
    <t>Đào tạo năng lực</t>
  </si>
  <si>
    <t>Tăng cường năng lực, nghiệp vụ</t>
  </si>
  <si>
    <t>Giám sát, đánh giá (Bộ chỉ số GSĐG, chất lượng nước,…)</t>
  </si>
  <si>
    <t>Giám sát đánh giá chất lượng nước và vệ sinh MTNT</t>
  </si>
  <si>
    <t>Biểu 4. TỔNG HỢP TÌNH HÌNH THỰC HIỆN VỐN CHƯƠNG TRÌNH MỤC TIÊU QUỐC GIA KẾ HOẠCH NĂM 2013 VÀ NHU CẦU NĂM 2014</t>
  </si>
  <si>
    <t>BIỂU 1: KẾT QUẢ THỰC HIỆN VỀ KẾ HOẠCH VÀ MỤC TIÊU</t>
  </si>
  <si>
    <t>Hạng mục</t>
  </si>
  <si>
    <t>Đơn vị</t>
  </si>
  <si>
    <t>Kế hoạch giao
năm 2013</t>
  </si>
  <si>
    <t>Thực hiện năm 2013</t>
  </si>
  <si>
    <t>TH 2012</t>
  </si>
  <si>
    <t>Tổng dân số nông thôn</t>
  </si>
  <si>
    <t>người</t>
  </si>
  <si>
    <t>Tổng số người nghèo nông thôn</t>
  </si>
  <si>
    <t>Tổng số hộ dân nông thôn</t>
  </si>
  <si>
    <t>hộ</t>
  </si>
  <si>
    <t>Số dân được cấp nước HVS trong năm</t>
  </si>
  <si>
    <t>Luỹ tích số dân được cấp nước HVS</t>
  </si>
  <si>
    <t>Tỷ lệ % số dân được cấp nước HVS trong năm</t>
  </si>
  <si>
    <t>Luỹ tích tỷ lệ % số dân được cấp nước HVS</t>
  </si>
  <si>
    <t>Tỷ lệ % số người nghèo được cấp nước HVS trong năm</t>
  </si>
  <si>
    <t>Luỹ tích tỷ lệ % số người nghèo được cấp nước HVS</t>
  </si>
  <si>
    <t>Số dân được cấp nước QC02 trong năm</t>
  </si>
  <si>
    <t>Luỹ tích số dân được cấp nước QC02</t>
  </si>
  <si>
    <t>Tỷ lệ % số dân được cấp nước QC02 trong năm</t>
  </si>
  <si>
    <t>Luỹ tích tỷ lệ % số dân được cấp nước QC02</t>
  </si>
  <si>
    <t>Tỷ lệ % số người nghèo được cấp nước QC02 trong năm</t>
  </si>
  <si>
    <t>Luỹ tích tỷ lệ % số người nghèo được cấp nước QC02</t>
  </si>
  <si>
    <t>Vệ sinh</t>
  </si>
  <si>
    <t>Số hộ gia đình có nhà tiêu HVS trong năm</t>
  </si>
  <si>
    <t>Luỹ tích số hộ gia đình có nhà tiêu HVS</t>
  </si>
  <si>
    <t>Tỷ lệ % số hộ gia đình có nhà tiêu HVS trong năm</t>
  </si>
  <si>
    <t>Luỹ tích tỷ lệ % số hộ gia đình có nhà tiêu HVS</t>
  </si>
  <si>
    <t>Tỷ lệ % số HGĐ nghèo có nhà tiêu HVS trong năm</t>
  </si>
  <si>
    <t>Luỹ tích tỷ lệ % số HGĐ nghèo có nhà tiêu HVS</t>
  </si>
  <si>
    <t>Các công trình công cộng có công trình cấp nước và vệ sinh</t>
  </si>
  <si>
    <t>Trường học (trường mầm non, trường phổ thông)</t>
  </si>
  <si>
    <t>cái</t>
  </si>
  <si>
    <t>Số trường học có công trình trong năm</t>
  </si>
  <si>
    <t>Lũy tích số TH có công trình</t>
  </si>
  <si>
    <t>Tỷ lệ % số TH có công trình</t>
  </si>
  <si>
    <t>Lũy tích tỷ lệ % TH có công trình</t>
  </si>
  <si>
    <t xml:space="preserve">Trạm y tế </t>
  </si>
  <si>
    <t>Tổng số trạm y tế</t>
  </si>
  <si>
    <t>Số trạm y tế có công trình</t>
  </si>
  <si>
    <t>Lũy tích số trạm y tế có công trình</t>
  </si>
  <si>
    <t>Quản lý, điều hành</t>
  </si>
  <si>
    <t>Tỷ lệ % số trạm y tế có công trình</t>
  </si>
  <si>
    <t>Lũy tích tỷ lệ % số trạm y tế có công trình</t>
  </si>
  <si>
    <t>Môi trường</t>
  </si>
  <si>
    <t>Số hộ gia đình có chuồng trại chăn nuôi HVS</t>
  </si>
  <si>
    <t>Tỷ lệ % số HGĐ có chuồng trại chăn nuôi HVS</t>
  </si>
  <si>
    <t>Kế hoạch 2014</t>
  </si>
  <si>
    <t xml:space="preserve"> </t>
  </si>
  <si>
    <t>Hệ thống cấp nước sinh hoạt cho các xã Thanh Nga, Xương Thịnh, huyện Cẩm Khê</t>
  </si>
  <si>
    <t>I.1</t>
  </si>
  <si>
    <t>I.2</t>
  </si>
  <si>
    <t>Cấp nước và VS trường học</t>
  </si>
  <si>
    <t>II.1</t>
  </si>
  <si>
    <t>II.2</t>
  </si>
  <si>
    <t>Vệ sinh nông thôn</t>
  </si>
  <si>
    <t>Truyền thông, tuyên truyền</t>
  </si>
  <si>
    <t>V</t>
  </si>
  <si>
    <t>Xây dựng công trình nước sạch và nhà tiêu hợp vệ sinh cho các trường tiểu học và THCS các xã: Sơn Dương, Đồng Luận, Gia Điền, Đông Thành, Thượng Nông, Thụy Vân, Phù Ninh - Thuộc dự án vệ sinh và nước sạch cho các trường mầm non, tiểu học và THCS vùng nông thôn trên địa bàn tỉnh Phú Thọ</t>
  </si>
  <si>
    <t>Dự án khởi công mới 2013</t>
  </si>
  <si>
    <t>Dự án khởi công mới 2014</t>
  </si>
  <si>
    <t>3.1</t>
  </si>
  <si>
    <t>3.2</t>
  </si>
  <si>
    <t>3.3</t>
  </si>
  <si>
    <t>2.1</t>
  </si>
  <si>
    <t>2.2</t>
  </si>
  <si>
    <t>1.7</t>
  </si>
  <si>
    <t>4.1</t>
  </si>
  <si>
    <t>4.2</t>
  </si>
  <si>
    <t>4.3</t>
  </si>
  <si>
    <t>4.4</t>
  </si>
  <si>
    <t>5.1</t>
  </si>
  <si>
    <t>5.2</t>
  </si>
  <si>
    <t>Dự án chuẩn bị đầu tư năm 2014</t>
  </si>
  <si>
    <t>Quản lý điều hành</t>
  </si>
  <si>
    <t>Giám sát đánh giá thực hiện Chương trình nước sạch và vệ sinh MTNT</t>
  </si>
  <si>
    <t>STT</t>
  </si>
  <si>
    <t>Cao Xá - Lâm Thao</t>
  </si>
  <si>
    <t>Tứ Xã- Lâm Thao</t>
  </si>
  <si>
    <t>Hồng Đà - Tam Nông</t>
  </si>
  <si>
    <t>Xuân Lộc - Thanh Thủy</t>
  </si>
  <si>
    <t>Đoan Hạ - Thanh  Thủy</t>
  </si>
  <si>
    <t>Đỗ Sơn - Thanh Ba</t>
  </si>
  <si>
    <t>Thái Ninh - Thanh Ba</t>
  </si>
  <si>
    <t>Hy Cương - Việt Trì</t>
  </si>
  <si>
    <t>Thanh toán cho các công trình cấp nước hoàn thành đã phê duyệt Quyết toán (22CT)</t>
  </si>
  <si>
    <t>4.5</t>
  </si>
  <si>
    <t>Dự án vệ sinh và nước sạch cho các trường mầm non, tiểu học và THCS vùng nông thôn trên địa bàn tỉnh Phú Thọ (Năm 2013: 24 công trình; năm 2014: 40CT)</t>
  </si>
  <si>
    <t>(Kèm theo Văn bản số             /BC-SNN ngày         /11/2013 của Sở Nông nghiệp và PTNT)</t>
  </si>
  <si>
    <t>Đơn vị: triệu đồng</t>
  </si>
  <si>
    <t>Tên công trình dự án</t>
  </si>
  <si>
    <t>Địa điểm xây dựng</t>
  </si>
  <si>
    <t>Quyết định phê duyệt</t>
  </si>
  <si>
    <t>Tổng mức đầu tư xây dựng; chi phí xây dựng</t>
  </si>
  <si>
    <t>Giám sát đánh giá ( Bộ chỉ số GSĐG, chất lượng nước, GSĐG thực hiện CT...)</t>
  </si>
  <si>
    <t>Xây dựng công trình vệ sinh và nước sạch cho các trường tiểu học và THCS các xã: Sơn Dương, Đồng Luận, Gia Điền, Đông Thành, Thượng Nông, Thụy Vân, Phù Ninh - thuộc dự án vệ sinh và nước sạch cho các trường mầm non, tiểu học và THCS vùng nông thôn trên địa bàn tỉnh Phú Thọ (Năm 2012)</t>
  </si>
  <si>
    <t xml:space="preserve">Dự án vệ sinh và nước sạch cho các trường mầm non, tiểu học và THCS vùng nông thôn trên địa bàn tỉnh Phú Thọ </t>
  </si>
  <si>
    <t>Dự án khởi công mới năm 2015</t>
  </si>
  <si>
    <t>Luỹ kế khối lượng 31/12/2013</t>
  </si>
  <si>
    <t>Lũy kế vốn đến 2013</t>
  </si>
  <si>
    <t xml:space="preserve">Số Quyết toán </t>
  </si>
  <si>
    <t>Tổng</t>
  </si>
  <si>
    <t>Riêng KH năm 2013</t>
  </si>
  <si>
    <t>Trong đó</t>
  </si>
  <si>
    <t>NSTW</t>
  </si>
  <si>
    <t>Vốn Nước ngoài</t>
  </si>
  <si>
    <t>Ngân sách tỉnh</t>
  </si>
  <si>
    <t>Huy động khác</t>
  </si>
  <si>
    <t>-</t>
  </si>
  <si>
    <t>Xã Phù Ninh</t>
  </si>
  <si>
    <t>Thanh Sơn</t>
  </si>
  <si>
    <t>Đoan Hùng</t>
  </si>
  <si>
    <t>Thanh Ba</t>
  </si>
  <si>
    <t>TX Phú Thọ</t>
  </si>
  <si>
    <t>TP Việt Trì</t>
  </si>
  <si>
    <t>Cấp nước sinh hoạt nông thôn</t>
  </si>
  <si>
    <t>a</t>
  </si>
  <si>
    <t>b</t>
  </si>
  <si>
    <t>3353/QĐ-UBND ngày 26/10/2011; 1353/QĐ-UBND ngày 31/5/2013</t>
  </si>
  <si>
    <t>2916/QĐ-UBND ngày 14/9/2011; 1363/QĐ-UBND ngày 03/6/2013</t>
  </si>
  <si>
    <t>2.3</t>
  </si>
  <si>
    <t>14-15</t>
  </si>
  <si>
    <t>Sửa chữa, nâng cấp các công trình cấp nước</t>
  </si>
  <si>
    <t>Đoan Hùng, Yên Lập, Tân Sơn</t>
  </si>
  <si>
    <t>c</t>
  </si>
  <si>
    <t>Dự án khởi công năm 2013</t>
  </si>
  <si>
    <t>2729/QĐ-UBND 12/10/2012; 1892/QĐ-UBND ngày 30/7/2013</t>
  </si>
  <si>
    <t>13-16</t>
  </si>
  <si>
    <t>HT 2014</t>
  </si>
  <si>
    <t xml:space="preserve">2730/QĐ-UBND 12/10/2012;1929/QĐ-UBND ngày 01/8/2013 </t>
  </si>
  <si>
    <t>13-15</t>
  </si>
  <si>
    <t>3006/QĐ-UBND 26/9/2011; 1891/QĐ-UBND ngày 30/7/2013</t>
  </si>
  <si>
    <t>d</t>
  </si>
  <si>
    <t>Dự án khởi công năm 2014</t>
  </si>
  <si>
    <t>HT 2015</t>
  </si>
  <si>
    <t>14-17</t>
  </si>
  <si>
    <t>e</t>
  </si>
  <si>
    <t>Hệ thống cấp nước sinh hoạt cho các xã Xuân Áng, Chuế Lưu huyện Hạ Hòa</t>
  </si>
  <si>
    <t>Xây dựng công trình nước sạch và nhà tiêu hợp vệ sinh cho các trường tiểu học và THCS các xã: Sơn Dương, Đồng Luận, Gia Điền, Đông Thành, Thượng Nông, Thụy Vân, Phù Ninh - Thuộc dự án vệ sinh và nước sạch cho các trường mầm non, tiểu học và THCS vùng nông</t>
  </si>
  <si>
    <t>Nâng cao năng lực, truyền thông giám sát, đánh giá thực hiện chương trình</t>
  </si>
  <si>
    <t>Chi quản lý Chương trình</t>
  </si>
  <si>
    <t>Tăng cường trình độ, năng lực, nghiệp vụ</t>
  </si>
  <si>
    <t>Hoạt động truyền thông, tuyên truyền về giáo dục</t>
  </si>
  <si>
    <t>Tổng cấp đến 2014</t>
  </si>
  <si>
    <t>Vốn vay lại</t>
  </si>
  <si>
    <t>Hệ thống cấp nước sinh hoạt cho các xã Giáp Lai, Thạch Khoán, huyện Thanh Sơn</t>
  </si>
  <si>
    <t>Tỷ lệ vốn cấp/ tổng</t>
  </si>
  <si>
    <t>Tỷ lệ vốn vay/ tổng</t>
  </si>
  <si>
    <t>Tỷ lệ vốn đã cấp / giá trị</t>
  </si>
  <si>
    <t>Vốn cấp</t>
  </si>
  <si>
    <t>Tỷ lệ vốn cấp của từng dự án</t>
  </si>
  <si>
    <t>Hệ thống cấp nước SH  xã Trung Nghĩa huyện Thanh Thủy</t>
  </si>
  <si>
    <t>Huyện</t>
  </si>
  <si>
    <t>Xã</t>
  </si>
  <si>
    <t>Số hộ
 có nhà tiêu</t>
  </si>
  <si>
    <t>Số hộ
 có nhà tiêu HVS</t>
  </si>
  <si>
    <t>Xã Hương Lung</t>
  </si>
  <si>
    <t>Xã Phương Xá</t>
  </si>
  <si>
    <t>Xã Sai Nga</t>
  </si>
  <si>
    <t>Xã Thanh Nga</t>
  </si>
  <si>
    <t>Xã Sóc Đăng</t>
  </si>
  <si>
    <t>TT Hạ Hoà</t>
  </si>
  <si>
    <t>Xã Cáo Điền</t>
  </si>
  <si>
    <t>Xã Chuế Lưu</t>
  </si>
  <si>
    <t>Xã Lệnh Khanh</t>
  </si>
  <si>
    <t>Xã Mai Tùng</t>
  </si>
  <si>
    <t>Xã Vĩnh Chân</t>
  </si>
  <si>
    <t>TT Hùng Sơn</t>
  </si>
  <si>
    <t>Xã Hợp Hải</t>
  </si>
  <si>
    <t>Xã Kinh Kệ</t>
  </si>
  <si>
    <t>Xã Sơn Dương</t>
  </si>
  <si>
    <t>Xã Sơn Vi</t>
  </si>
  <si>
    <t>Xã Tiên Kiên</t>
  </si>
  <si>
    <t>TT Phong Châu</t>
  </si>
  <si>
    <t>Xã Cổ Tiết</t>
  </si>
  <si>
    <t>Xã Dậu Dương</t>
  </si>
  <si>
    <t>Xã Dị Nậu</t>
  </si>
  <si>
    <t>Xã Tam Cường</t>
  </si>
  <si>
    <t>Xã Tề Lễ</t>
  </si>
  <si>
    <t>5.3</t>
  </si>
  <si>
    <t xml:space="preserve"> 5.4</t>
  </si>
  <si>
    <t>BIỂU 3: BÁO CÁO DỰ ÁN ĐẦU TƯ CTMTQG KẾ HOẠCH NĂM 2014</t>
  </si>
  <si>
    <t>Số hộ dự kiến đấu nối</t>
  </si>
  <si>
    <t>Thôn/Tên công trình cấp nước</t>
  </si>
  <si>
    <t>Nguồn nước</t>
  </si>
  <si>
    <t>Công suất thiết kế (m3/ng)</t>
  </si>
  <si>
    <t>Công suất khai thác (m3/ng)</t>
  </si>
  <si>
    <t>Số hộ được cấp nước theo thiết kế</t>
  </si>
  <si>
    <t>Số người được cấp nước theo thiết kế</t>
  </si>
  <si>
    <t>Số hộ đấu nối thực tế</t>
  </si>
  <si>
    <t>Số người sử dụng nước thực tế</t>
  </si>
  <si>
    <t>Số đồng hồ nước được lắp đặt</t>
  </si>
  <si>
    <t>S¶n l­îng n­íc th­¬ng phÈm (m3)</t>
  </si>
  <si>
    <t>Gi¸ b¸n n­íc (®/m3)</t>
  </si>
  <si>
    <t>Sè tiÒn thu tõ b¸n n­íc bq 1 th¸ng  (ngh×n ®ång)</t>
  </si>
  <si>
    <t>C¸c kho¶n chi phÝ bq trong 01 th¸ng (ngh×n ®ång)</t>
  </si>
  <si>
    <t>Tổng chi phí (ngàn đồng)</t>
  </si>
  <si>
    <t>Mô hình quản lý</t>
  </si>
  <si>
    <t>Chi l­¬ng</t>
  </si>
  <si>
    <t>§iÖn n¨ng</t>
  </si>
  <si>
    <t>Hãa chÊt</t>
  </si>
  <si>
    <t>Söa ch÷a nhá</t>
  </si>
  <si>
    <t>Huyện Cẩm Khê</t>
  </si>
  <si>
    <t>Ngô Xá</t>
  </si>
  <si>
    <t>Hệ thống Cấp Nước Sinh Hoạt Xã Ngô Xá</t>
  </si>
  <si>
    <t>NN</t>
  </si>
  <si>
    <t>HTXDVĐN</t>
  </si>
  <si>
    <t>Tiên Lương</t>
  </si>
  <si>
    <t>Hệ thống Cấp Nước Sinh Hoạt Xã Tiên Lương</t>
  </si>
  <si>
    <t>UBND xã</t>
  </si>
  <si>
    <t>Phương Xá</t>
  </si>
  <si>
    <t>Hệ thống Cấp Nước Sinh Hoạt Xã Phương Xá</t>
  </si>
  <si>
    <t>Huyện Đoan Hùng</t>
  </si>
  <si>
    <t>Tây Cốc</t>
  </si>
  <si>
    <t>Cấp nước thôn Tân Long xã Tây Cốc</t>
  </si>
  <si>
    <t>Khu</t>
  </si>
  <si>
    <t>Ngừng HĐ</t>
  </si>
  <si>
    <t>Cấp nước khu Trung Tâm xã Tây Cốc</t>
  </si>
  <si>
    <t>HTXDV</t>
  </si>
  <si>
    <t>Hùng Long</t>
  </si>
  <si>
    <t>Cấp nước sinh hoạt thôn Đồng Bích xã Hùng Long</t>
  </si>
  <si>
    <t>Minh Phú</t>
  </si>
  <si>
    <t>Thôn 3 Bãi Cầu</t>
  </si>
  <si>
    <t>Chưa BG</t>
  </si>
  <si>
    <t>Ngọc Quan</t>
  </si>
  <si>
    <t>Tên công trình: Cấp nước sinh hoạt xã Ngọc Quan</t>
  </si>
  <si>
    <t>Phương Trung</t>
  </si>
  <si>
    <t>Tên công trình: Cấp nước sinh hoạt xã Phương Trung</t>
  </si>
  <si>
    <t>Vân Đồn</t>
  </si>
  <si>
    <t xml:space="preserve">Cấp nước sinh hoạt thôn Châm Nhị xã Vân Đồn </t>
  </si>
  <si>
    <t>Huyện Hạ Hoà</t>
  </si>
  <si>
    <t>Văn Lang</t>
  </si>
  <si>
    <t>Tên công trình: Hệ thống cấp nước sinh hoạt xã Văn Lang - Hạ Hoà</t>
  </si>
  <si>
    <t>Hiền Lương</t>
  </si>
  <si>
    <t>Tên công trình: Công trình cấp nước sinh hoạt xã Hiền Lương</t>
  </si>
  <si>
    <t>Đang nâng cấp sửa chữa</t>
  </si>
  <si>
    <t>Minh Hạc</t>
  </si>
  <si>
    <t>Tên công trình: Công trình cấp nước sinh hoạt xã Minh Hạc</t>
  </si>
  <si>
    <t>Vụ Cầu</t>
  </si>
  <si>
    <t>Tên công trình: Công trình cấp nước sinh hoạt xã Vụ Cầu</t>
  </si>
  <si>
    <t>Động Lâm</t>
  </si>
  <si>
    <t>Tên công trình: Hệ thống cấp nước sinh hoạt xã Động Lâm - Hạ Hoà</t>
  </si>
  <si>
    <t>Bằng Giã</t>
  </si>
  <si>
    <t>Tên công trình: Công trình cấp nước sinh hoạt xã Bằng Giã</t>
  </si>
  <si>
    <t>Huyện Lâm Thao</t>
  </si>
  <si>
    <t>Sơn Vi</t>
  </si>
  <si>
    <t>Tên công trình: Công trình cấp nước sinh hoạt xã Sơn Vi</t>
  </si>
  <si>
    <t>Xuân Huy</t>
  </si>
  <si>
    <t>Tên công trình: Công trình cấp nước xã Xuân Huy</t>
  </si>
  <si>
    <t>Tứ Xã</t>
  </si>
  <si>
    <t>Tên công trình: Công trình cấp nước sinh hoạt xóm Vân Hùng</t>
  </si>
  <si>
    <t>HTXDVNN</t>
  </si>
  <si>
    <t>Vĩnh Lại</t>
  </si>
  <si>
    <t>Tên công trình: Công trình cấp nước sinh hoạt xã Vĩnh Lại</t>
  </si>
  <si>
    <t>Sơn Dương</t>
  </si>
  <si>
    <t>Tên công trình: Công trình cấp nước sinh hoạt khu 5</t>
  </si>
  <si>
    <t>Kinh Kệ</t>
  </si>
  <si>
    <t>Tên công trình: Công trình cấp nước sinh hoạt xã Kinh Kệ</t>
  </si>
  <si>
    <t>Huyện Phù Ninh</t>
  </si>
  <si>
    <t>Hạ Giáp</t>
  </si>
  <si>
    <t>Tên công trình:Hệ Thống Cấp Nước Sinh Hoạt xã Hạ Giáp</t>
  </si>
  <si>
    <t>An Đạo</t>
  </si>
  <si>
    <t>Tên công trình: hệ thống cấp nước sinh hoạt xã An đạo - huyện Phù Ninh</t>
  </si>
  <si>
    <t>Phú Nham</t>
  </si>
  <si>
    <t>Tên công trình: hệ thống cấp nước sinh hoạt xã Phú Nham - Phù Ninh</t>
  </si>
  <si>
    <t>Huyện Tam Nông</t>
  </si>
  <si>
    <t>Hương Nộn</t>
  </si>
  <si>
    <t>Tên công trình:Hệ Thống Cấp Nước Sinh Hoạt Xã Hương Nộn</t>
  </si>
  <si>
    <t>Vực Trường</t>
  </si>
  <si>
    <t>Tên công trình: Hệ Thống Cấp Nước Sinh Hoạt Xã Vực Trường</t>
  </si>
  <si>
    <t>Quang Húc</t>
  </si>
  <si>
    <t>Hệ Thống Cấp Nước Sinh Hoạt Xã Quang Húc</t>
  </si>
  <si>
    <t>Huyện Thanh Ba</t>
  </si>
  <si>
    <t>Lương Lỗ</t>
  </si>
  <si>
    <t>Tên công trình:Hệ Thống Cấp Nước Sinh Hoạt xã Lương Lỗ</t>
  </si>
  <si>
    <t>Vũ Yển</t>
  </si>
  <si>
    <t>Tên công trình:Hệ Thống Cấp Nước Sinh Hoạt xã Vũ Yển</t>
  </si>
  <si>
    <t>Đỗ Xuyên</t>
  </si>
  <si>
    <t>Hệ thống cấp nước sinh hoạt xã Đỗ Xuyên - Thanh Ba</t>
  </si>
  <si>
    <t>Huyện Thanh Sơn</t>
  </si>
  <si>
    <t>Võ Miếu</t>
  </si>
  <si>
    <t>Tên công trình: Công trình cấp nước sinh hoạt xã Võ Miếu</t>
  </si>
  <si>
    <t>Huyện Thanh Thuỷ</t>
  </si>
  <si>
    <t>Đồng Luận</t>
  </si>
  <si>
    <t>Tên công trình: Cấp Nước Sinh hoạt xã Đồng Luận</t>
  </si>
  <si>
    <t>Hoàng Xá</t>
  </si>
  <si>
    <t>Công trình Cấp nước sinh hoạt xã Hoàng Xá</t>
  </si>
  <si>
    <t>Đồng Thịnh</t>
  </si>
  <si>
    <t>Tên công trình: Cấp nước sinh hoạt khu Minh Tiến xã Đồng Thịnh</t>
  </si>
  <si>
    <t>Xuân Thủy</t>
  </si>
  <si>
    <t>Tên công trình: Công trình cấp nước SH nông thôn khu 4</t>
  </si>
  <si>
    <t>tt Yên Lập</t>
  </si>
  <si>
    <t xml:space="preserve">Cấp nước sinh hoạt khu Tân An Thị trấn Yên Lập </t>
  </si>
  <si>
    <t>Minh Hòa</t>
  </si>
  <si>
    <t>Tên công trình: Công trình cấp nước tự chảy thôn Phú Cường xã Minh Hoà</t>
  </si>
  <si>
    <t>Hưng Long</t>
  </si>
  <si>
    <t>Tên công trình: Công trình cấp nước sinh hoạt thôn Đồng Cả xã Hưng Long</t>
  </si>
  <si>
    <t>PHỤ LỤC 4: KẾ HOẠCH MỤC TIÊU VỆ SINH (DLI 1.2 VÀ 2.2)</t>
  </si>
  <si>
    <t>PHỤ LỤC 7: HIỆN TRẠNG SỬ DỤNG NƯỚC SẠCH</t>
  </si>
  <si>
    <t>PHỤ LỤC 8: HIỆN TRẠNG VỆ SINH MÔI TRƯỜNG</t>
  </si>
  <si>
    <t>Thượng Nông-Tam Nông</t>
  </si>
  <si>
    <t>Vực Trường - Tam Nông</t>
  </si>
  <si>
    <t>Hùng Đô - Tam Nông</t>
  </si>
  <si>
    <t>Vĩnh Phú - Phù Ninh</t>
  </si>
  <si>
    <t>Văn Lung - TX Phú Thọ</t>
  </si>
  <si>
    <t>Lương Lỗ - Thanh Ba</t>
  </si>
  <si>
    <t>Đỗ Xuyên - Thanh Ba</t>
  </si>
  <si>
    <t>Thanh Hà - Thanh Ba</t>
  </si>
  <si>
    <t>Đông Thành - Thanh Ba</t>
  </si>
  <si>
    <t>Vũ Yển - Thanh Ba</t>
  </si>
  <si>
    <t>Cấp nước và vệ sinh cho 22 trường mầm non, tiểu học và THCS tại các xã: Tứ Xã, Xuân Huy -huyện Lâm Thao; Khải Xuân, Võ Lao, Đồng Xuân, Thái Ninh, Đại An - huyện Thanh Ba; Ngọc Quan - huyện Đoan Hùng; Thụy Liễu, Sai Nga, Hương Lung - huyện Cẩm Khê; Văn Lang - huyện Hạ Hòa</t>
  </si>
  <si>
    <t>Cộng đồng</t>
  </si>
  <si>
    <t>Tư nhân</t>
  </si>
  <si>
    <t>Tên Dự án</t>
  </si>
  <si>
    <t>Thời gian 
KC-HT</t>
  </si>
  <si>
    <t>Tổng mức</t>
  </si>
  <si>
    <t>Trong đó:</t>
  </si>
  <si>
    <t>Chia ra các năm</t>
  </si>
  <si>
    <t>Chi phí 
GPMB</t>
  </si>
  <si>
    <t>Tổng cộng</t>
  </si>
  <si>
    <t>Huyện/xã</t>
  </si>
  <si>
    <t>Số nhà tiêu hộ gia đình HVS được xây mới hoặc Cải tạo (Hộ)</t>
  </si>
  <si>
    <t xml:space="preserve">Tổng số </t>
  </si>
  <si>
    <t xml:space="preserve">Từ nguồn </t>
  </si>
  <si>
    <t>Hỗ trợ (1)</t>
  </si>
  <si>
    <t>Vay NHCSXH</t>
  </si>
  <si>
    <t>Ngành Y tế</t>
  </si>
  <si>
    <t>Truyền thông</t>
  </si>
  <si>
    <t>Ngành Nông nghiệp</t>
  </si>
  <si>
    <t>Ngành GDĐT</t>
  </si>
  <si>
    <t>Chỉ số  giải ngân (DLI)</t>
  </si>
  <si>
    <t>DLI II: Sự bền vững của cơ sở hạ tầng</t>
  </si>
  <si>
    <t>DLI III: Lập kế hoạch và báo cáo</t>
  </si>
  <si>
    <t>DLI 3.1: Số Kế hoạch và báo cáo của Chương trình hàng năm được công bố công khai</t>
  </si>
  <si>
    <t>DLI 3.2: Số Kế hoạch Phát triển năng lực hàng năm đã phê duyệt được thực hiện</t>
  </si>
  <si>
    <t>Khoản mục</t>
  </si>
  <si>
    <t>Hợp phần 1: Cấp nước nông thôn</t>
  </si>
  <si>
    <t>Tiểu Hợp phần 1: Cấp nước cho cộng đồng dân cư</t>
  </si>
  <si>
    <t>Tiểu Hợp phần 2: Cấp nước và vệ sinh cho trường học</t>
  </si>
  <si>
    <t>Hợp phần 2: Vệ sinh nông thôn</t>
  </si>
  <si>
    <t>Tiểu Hợp phần 2: Cấp nước và vệ sinh cho trạm y tế</t>
  </si>
  <si>
    <t>Đấu nối (hộ)</t>
  </si>
  <si>
    <t>Tổng mức đầu tư</t>
  </si>
  <si>
    <t>Năm 2012</t>
  </si>
  <si>
    <t>Năm 2017</t>
  </si>
  <si>
    <t>Năm 2018</t>
  </si>
  <si>
    <t>Năm 2019</t>
  </si>
  <si>
    <t>Năm 2020</t>
  </si>
  <si>
    <t>triệu VNĐ</t>
  </si>
  <si>
    <t>triệu USD</t>
  </si>
  <si>
    <t>DỮ LIỆU HIỆN TẠI</t>
  </si>
  <si>
    <t>DỮ LIỆU CƠ BẢN VỀ TỈNH</t>
  </si>
  <si>
    <t>a)     Sử dụng nước ngầm</t>
  </si>
  <si>
    <t xml:space="preserve">b)     Sử dụng nước mặt </t>
  </si>
  <si>
    <t>c)     Cung cấp nước sạch</t>
  </si>
  <si>
    <t>d)     Cung cấp nước HVS</t>
  </si>
  <si>
    <t>Tên Huyện/Xã</t>
  </si>
  <si>
    <t xml:space="preserve">Số hộ </t>
  </si>
  <si>
    <t>Tỷ lệ hộ sử dụng nhà tiêu HVS</t>
  </si>
  <si>
    <t xml:space="preserve">Nhà tiêu gia đình đang sử dụng </t>
  </si>
  <si>
    <t>Số hộ sử dụng nhà tiêu  HVS</t>
  </si>
  <si>
    <t>Tỉ lệ hộ  dân sử dụng nhà tiêu HVS  %</t>
  </si>
  <si>
    <t>Số hộ có nhà tiêu  HVS</t>
  </si>
  <si>
    <t>Tỉ lệ hộ  dân có nhà tiêu HVS  %</t>
  </si>
  <si>
    <t xml:space="preserve"> Tự hoại</t>
  </si>
  <si>
    <t xml:space="preserve"> Thấm dội nước</t>
  </si>
  <si>
    <t xml:space="preserve"> Hai ngăn ủ phân</t>
  </si>
  <si>
    <t xml:space="preserve"> Chìm có ống thông hơi</t>
  </si>
  <si>
    <t>Hợp VS</t>
  </si>
  <si>
    <t>Nguồn 
nước</t>
  </si>
  <si>
    <t>Quyết định 
phê duyệt</t>
  </si>
  <si>
    <t>Nhu cầu vốn các năm</t>
  </si>
  <si>
    <t>Tổng số hộ 
trong xã</t>
  </si>
  <si>
    <t>Hộ có nhà 
tiêu HVS</t>
  </si>
  <si>
    <t>Tỷ lệ có nhà 
tiêu HVS</t>
  </si>
  <si>
    <t>2.1. Số dân nông thôn được cấp nước HVS trong năm</t>
  </si>
  <si>
    <t>2.5. Số dân nông thôn được cấp nước QC 02 trong năm</t>
  </si>
  <si>
    <t>CÔNG TRÌNH CẤP NƯỚC TẬP TRUNG</t>
  </si>
  <si>
    <t>3.2.  Số lượng đấu nối tại khu vực nông thôn</t>
  </si>
  <si>
    <t>3.4.  Chi phí sản xuất hiện tại (VND/m3)</t>
  </si>
  <si>
    <t>3.5.  Tỷ lệ thất thoát trung bình (%)</t>
  </si>
  <si>
    <t>TRƯỜNG HỌC</t>
  </si>
  <si>
    <t>a)  Số lượng trường mẫu giáo công lập</t>
  </si>
  <si>
    <t>b)  Số lượng trường tiểu học</t>
  </si>
  <si>
    <t>c)  Số lượng trường trung học</t>
  </si>
  <si>
    <t>5.2.  Số trường học công lập có công trình nước và nhà tiêu HVS trong năm</t>
  </si>
  <si>
    <t>5.4. Tỷ lệ  trường học công lập có công trình nước và nhà tiêu HVS trong năm</t>
  </si>
  <si>
    <t>6.2.  Số trạm y tế có nước và nhà tiêu HVS trong năm</t>
  </si>
  <si>
    <t>6.4. Tỷ lệ số trạm y tế có nước và nhà tiêu HVS trong năm</t>
  </si>
  <si>
    <t>7.1. Số hộ gia đình có chuồng trại chăn nuôi HVS</t>
  </si>
  <si>
    <t>7.2. Tỷ lệ hộ gia đình có chuồng trại chăn nuôi HVS</t>
  </si>
  <si>
    <t>Tổng số vốn thực hiện</t>
  </si>
  <si>
    <t>Giám sát đánh giá</t>
  </si>
  <si>
    <t>3.3.a.  Giá nước thấp nhất hiện tại (VND/m3)</t>
  </si>
  <si>
    <t>10.2 Số hộ gia đình bị ảnh hưởng hoàn toàn do thu hồi đất</t>
  </si>
  <si>
    <t>10.3 Số hộ gia đình bị ảnh hưởng một phần do thu hồi đất</t>
  </si>
  <si>
    <t>1.6.  Số xã đề xuất đạt “Vệ sinh toàn xã”</t>
  </si>
  <si>
    <t>3.1.b  Cấp nước và vệ sinh trường học</t>
  </si>
  <si>
    <t>% trường có NS và nhà tiêu HVS</t>
  </si>
  <si>
    <t>% trạm có NS và nhà tiêu HVS</t>
  </si>
  <si>
    <t>Trường học</t>
  </si>
  <si>
    <t>Trạm y tế</t>
  </si>
  <si>
    <t>Các tổ chức phi chính phủ/đối tác hoạt động trên địa bàn xã về NSVSMT</t>
  </si>
  <si>
    <t>Tên tổ chức PCP/đối tác</t>
  </si>
  <si>
    <t>Các hoạt động chính (VD: CTLS, IEC…)</t>
  </si>
  <si>
    <t>Số xã/thôn-bản được cấp nước</t>
  </si>
  <si>
    <t>Tên xã/thôn, bản được cấp nước</t>
  </si>
  <si>
    <t>Đối với công trình phục hồi: CT đã ngừng hoạt động bao lâu rồi ?</t>
  </si>
  <si>
    <t>Chất lượng nguồn nước</t>
  </si>
  <si>
    <t>Sự sẵn có của nguồn nước</t>
  </si>
  <si>
    <t>Khu vực phục vụ</t>
  </si>
  <si>
    <t>Nhu cầu dùng nước</t>
  </si>
  <si>
    <t>Ước lượng nước tiêu thụ (m3/ngày)</t>
  </si>
  <si>
    <t>Người dân có sẵn sàng chi trả cho đấu nối và sử dụng nước không?</t>
  </si>
  <si>
    <t>Thiết kế kỹ thuật</t>
  </si>
  <si>
    <t>Thiết kế kỹ thuật đã hoàn thành chưa?</t>
  </si>
  <si>
    <t>Công suất thiết kế (m3/ngày)</t>
  </si>
  <si>
    <t>Số đấu nối theo thiết kế</t>
  </si>
  <si>
    <t>Mô hình quản lý vận hành dự kiến</t>
  </si>
  <si>
    <t>Ảnh hưởng biến đổi khí hậu</t>
  </si>
  <si>
    <t>Mô hình QLVH</t>
  </si>
  <si>
    <t>Dự kiến doanh thu tiền nước hàng tháng (VND)</t>
  </si>
  <si>
    <t>Dự kiến chi phí hàng tháng  (VND)</t>
  </si>
  <si>
    <t>Các tác động có thể (hạn hán, lũ lụt…</t>
  </si>
  <si>
    <t>Biện pháp khắc phục</t>
  </si>
  <si>
    <t xml:space="preserve">Trữ lượng nguồn nước </t>
  </si>
  <si>
    <t>3.3.b.  Giá nước cao nhất hiện tại (VND/m3)</t>
  </si>
  <si>
    <t>1.1.  Số công trình cấp nước tập trung đề xuất phục hồi, cải tạo</t>
  </si>
  <si>
    <t>1.2.  Số công trình cấp nước tập trung đề xuất xây mới</t>
  </si>
  <si>
    <t>(Kèm theo công văn số  ….                  ngày ... /2015 của ………..)</t>
  </si>
  <si>
    <t>Số trường có NS và nhà tiêu HVS</t>
  </si>
  <si>
    <t>Số trạm có NS và nhà tiêu HVS</t>
  </si>
  <si>
    <t>Tổng số trạm</t>
  </si>
  <si>
    <t>TRẠM Y TẾ</t>
  </si>
  <si>
    <t>Vốn đầu tư (triệu đồng)</t>
  </si>
  <si>
    <t>A. Phân theo nguồn vốn</t>
  </si>
  <si>
    <t>Vốn tư nhân</t>
  </si>
  <si>
    <t>Ngân sách Trung ương</t>
  </si>
  <si>
    <t>Ngân sách địa phương</t>
  </si>
  <si>
    <t>B. Phân theo Hợp phần</t>
  </si>
  <si>
    <t>Chi phí khác</t>
  </si>
  <si>
    <t>Dự phòng</t>
  </si>
  <si>
    <t>Chung</t>
  </si>
  <si>
    <t>Số người nghèo</t>
  </si>
  <si>
    <t>Số người SD nước HVS</t>
  </si>
  <si>
    <t xml:space="preserve">Tỉ lệ người dân SD nước HVS% </t>
  </si>
  <si>
    <t>Số người nghèo sử dụng nước HVS</t>
  </si>
  <si>
    <t xml:space="preserve">Tỉ lệ người nghèo SD nước HVS% </t>
  </si>
  <si>
    <t>Số lượng nguồn HVS</t>
  </si>
  <si>
    <t>Số người nghèo sử dụng nguồn HVS</t>
  </si>
  <si>
    <t>Nguồn Nước máy</t>
  </si>
  <si>
    <t xml:space="preserve">Số lượng nguồn
</t>
  </si>
  <si>
    <t xml:space="preserve"> Số Hộ chưa có nhà tiêu HVS</t>
  </si>
  <si>
    <t>3.3. Hợp phần 3: Nâng cao năng lực truyền thông, giám sát đánh giá</t>
  </si>
  <si>
    <t>3.1. Hợp phần 1: Cấp nước</t>
  </si>
  <si>
    <t xml:space="preserve">Huyện/Xã/Trường </t>
  </si>
  <si>
    <t>1.3.  Số xã dự kiến được cấp nước từ các CTCNTT phục hồi, cải tạo và xây mới</t>
  </si>
  <si>
    <t>1.4.  Số đấu nối nước mới dự kiến từ các công trình CTCNTT phục hồi, cải tạo và xây mới</t>
  </si>
  <si>
    <t>Kiểm tra, giám sát</t>
  </si>
  <si>
    <r>
      <t>Huy</t>
    </r>
    <r>
      <rPr>
        <b/>
        <sz val="10"/>
        <color indexed="8"/>
        <rFont val="Times New Roman"/>
        <family val="1"/>
      </rPr>
      <t>ện</t>
    </r>
  </si>
  <si>
    <t>Số trường học</t>
  </si>
  <si>
    <r>
      <t>S</t>
    </r>
    <r>
      <rPr>
        <b/>
        <sz val="10"/>
        <color indexed="8"/>
        <rFont val="Times New Roman"/>
        <family val="1"/>
      </rPr>
      <t>ố trường học có nước và nhà tiêu hợp vệ sinh</t>
    </r>
  </si>
  <si>
    <r>
      <t>T</t>
    </r>
    <r>
      <rPr>
        <b/>
        <sz val="10"/>
        <color indexed="8"/>
        <rFont val="Times New Roman"/>
        <family val="1"/>
      </rPr>
      <t>ỷ lệ trường học có nước và nhà tiêu HVS</t>
    </r>
  </si>
  <si>
    <r>
      <t>S</t>
    </r>
    <r>
      <rPr>
        <b/>
        <sz val="10"/>
        <color indexed="8"/>
        <rFont val="Times New Roman"/>
        <family val="1"/>
      </rPr>
      <t>ố trạm y tế xã</t>
    </r>
  </si>
  <si>
    <r>
      <t>S</t>
    </r>
    <r>
      <rPr>
        <b/>
        <sz val="10"/>
        <color indexed="8"/>
        <rFont val="Times New Roman"/>
        <family val="1"/>
      </rPr>
      <t>ố tram y tế có nước và nhà tiêu HVS</t>
    </r>
  </si>
  <si>
    <r>
      <t>T</t>
    </r>
    <r>
      <rPr>
        <b/>
        <sz val="10"/>
        <color indexed="8"/>
        <rFont val="Times New Roman"/>
        <family val="1"/>
      </rPr>
      <t>ỷ lệ trạm y tế có nước và nhà tiêu HVS</t>
    </r>
  </si>
  <si>
    <r>
      <t>Dân s</t>
    </r>
    <r>
      <rPr>
        <b/>
        <sz val="10"/>
        <color indexed="8"/>
        <rFont val="Times New Roman"/>
        <family val="1"/>
      </rPr>
      <t>ố xã</t>
    </r>
  </si>
  <si>
    <r>
      <t>S</t>
    </r>
    <r>
      <rPr>
        <b/>
        <sz val="10"/>
        <color indexed="8"/>
        <rFont val="Times New Roman"/>
        <family val="1"/>
      </rPr>
      <t>ố hộ</t>
    </r>
  </si>
  <si>
    <r>
      <t>S</t>
    </r>
    <r>
      <rPr>
        <b/>
        <sz val="10"/>
        <color indexed="8"/>
        <rFont val="Times New Roman"/>
        <family val="1"/>
      </rPr>
      <t>ố hộ có nhà tiêu được cải thiện</t>
    </r>
  </si>
  <si>
    <r>
      <t>T</t>
    </r>
    <r>
      <rPr>
        <b/>
        <sz val="10"/>
        <color indexed="8"/>
        <rFont val="Times New Roman"/>
        <family val="1"/>
      </rPr>
      <t>ỷ lệ hộ có nhà tiêu được cải thiện</t>
    </r>
  </si>
  <si>
    <t>Các xã đạt VSTX 2016</t>
  </si>
  <si>
    <t>Các xã đạt VSTX 2017</t>
  </si>
  <si>
    <t>BIỂU 3. DANH SÁCH XÃ ĐẠT “VỆ SINH TOÀN XÃ” TÍNH TỚI NGÀY 31/12/2016</t>
  </si>
  <si>
    <r>
      <t>S</t>
    </r>
    <r>
      <rPr>
        <b/>
        <sz val="10"/>
        <color indexed="8"/>
        <rFont val="Times New Roman"/>
        <family val="1"/>
      </rPr>
      <t>ố hộ có điểm rửa tay</t>
    </r>
  </si>
  <si>
    <r>
      <t>T</t>
    </r>
    <r>
      <rPr>
        <b/>
        <sz val="10"/>
        <color indexed="8"/>
        <rFont val="Times New Roman"/>
        <family val="1"/>
      </rPr>
      <t>ỷ lệ hộ có điểm rửa tay</t>
    </r>
  </si>
  <si>
    <t>BIỂU 5.   DANH SÁCH CÔNG TRINH CẤP NƯỚC TẬP TRUNG ĐÃ XÂY DỰNG TÍNH ĐẾN HẾT THÁNG 12/2015</t>
  </si>
  <si>
    <t>(Kèm theo Công văn số………………………...)</t>
  </si>
  <si>
    <t>Tên công trình cấp nước</t>
  </si>
  <si>
    <t>Loại CT (Phục hồi, cải tạo, mở rộng, xây mới)</t>
  </si>
  <si>
    <t>Địa điểm xây dựng (xã)</t>
  </si>
  <si>
    <t>Vùng phục vụ</t>
  </si>
  <si>
    <t>Sản lượng nước sản xuất bình quân 01 tháng (m3)</t>
  </si>
  <si>
    <t>Tỷ lệ thất thoát nước</t>
  </si>
  <si>
    <t>Giá bán nước (đồng/m3)</t>
  </si>
  <si>
    <t>Số tiền thu từ bán nước bình quân 01 tháng (nghìn đồng)</t>
  </si>
  <si>
    <t>Các khoản chi phí bình quân trong 01 tháng (nghìn đồng)</t>
  </si>
  <si>
    <t>Tổng chi phí (nghìn đồng)</t>
  </si>
  <si>
    <t>Tính sẵn có</t>
  </si>
  <si>
    <t>Nước mặt</t>
  </si>
  <si>
    <t>Quanh năm</t>
  </si>
  <si>
    <t xml:space="preserve">Quanh năm, hạn chế về mùa khô </t>
  </si>
  <si>
    <t xml:space="preserve">Chỉ có 6 tháng mùa mưa </t>
  </si>
  <si>
    <r>
      <t xml:space="preserve">Ghi chú: Liệt kê tất cả các công trình xây dựng đã hoàn thành </t>
    </r>
    <r>
      <rPr>
        <sz val="12"/>
        <color indexed="10"/>
        <rFont val="Times New Roman"/>
        <family val="1"/>
      </rPr>
      <t>từ 2016</t>
    </r>
  </si>
  <si>
    <t>Chương trình PforR WB</t>
  </si>
  <si>
    <t>4.1. Hợp phần 1: Cấp nước</t>
  </si>
  <si>
    <t>4.1.a  Cấp nước cho dân cư</t>
  </si>
  <si>
    <t>4.1.b  Cấp nước và vệ sinh trường học</t>
  </si>
  <si>
    <t>DLI 1.1: Số Kế hoạch truyền thông thay đổi hành vi đã phê duyệt được thực hiện</t>
  </si>
  <si>
    <t>DLI 1.3: Số đấu nối mới cấp nước tới hộ gia đình được xây mới hay cải tạo đang hoạt động (*)</t>
  </si>
  <si>
    <t xml:space="preserve">DLI 2.1: Số hộ gia đình có hệ thống cấp nước bền vững sau hai năm sử dụng từ công trình CNBV </t>
  </si>
  <si>
    <t>Số đấu nối từ các công trình bền vững sau 2 năm hoạt động</t>
  </si>
  <si>
    <t>Chi phí xây dựng + thiết bị</t>
  </si>
  <si>
    <t>DLI I: Thay đổi hành vi và cơ sở hạ tầng</t>
  </si>
  <si>
    <t>Các nguồn cấp nước nhỏ lẻ và khác</t>
  </si>
  <si>
    <t xml:space="preserve">Huyện/Xã/Trạm Y tế </t>
  </si>
  <si>
    <t>BIỂU 1: DỮ LIỆU CƠ SỞ</t>
  </si>
  <si>
    <t xml:space="preserve">BIỂU 8: KẾ HOẠCH VỆ SINH TOÀN XÃ (DLI 1.2) </t>
  </si>
  <si>
    <t>DLI 2.2: Số xã đã đạt được tình trạng vệ sinh toàn sau hai năm, nơi tất cả các trường mẫu giáo, tiểu học, trường học và trạm y tế duy trì được tình trạng vệ sinh.</t>
  </si>
  <si>
    <t>Truyền thông BCC</t>
  </si>
  <si>
    <t>Tăng cường năng lực (Tập huấn, đào tạo…)</t>
  </si>
  <si>
    <t>4.3. Hợp phần 3: Nâng cao năng lực, truyền thông, giám sát đánh giá</t>
  </si>
  <si>
    <t>9.1.  % hộ gia đình do phụ nữ làm chủ hưởng lợi từ CTCNTT</t>
  </si>
  <si>
    <t>9.2.  % hộ gia đình do phụ nữ làm chủ hưởng lợi từ CT vệ sinh</t>
  </si>
  <si>
    <t>Kết quả thực hiện 2016</t>
  </si>
  <si>
    <t>Kết quả thực hiện
2016</t>
  </si>
  <si>
    <t>KẾT QUẢ THỰC HIỆN NĂM 2016</t>
  </si>
  <si>
    <t>3.1.a  Cấp nước cho cộng đồng dân cư</t>
  </si>
  <si>
    <t>Vốn Ngân hàng thế giới (WB)</t>
  </si>
  <si>
    <t>2.1.1.  Số công trình CNTT phục hồi, cải tạo</t>
  </si>
  <si>
    <t>2.1.2.  Số công trình CNTT xây mới</t>
  </si>
  <si>
    <t>2.1.3.  Số xã được cấp nước từ các CTCNTT phục hồi, cải tạo và xây mới</t>
  </si>
  <si>
    <t>2.1.4.  Số đấu nối nước mới từ các công trình CTCNTT phục hồi, cải tạo và xây mới</t>
  </si>
  <si>
    <t>2.1.5.  Số nhà tiêu hộ gia đình được cải thiện</t>
  </si>
  <si>
    <t>2.1.6.  Số xã đạt “Vệ sinh toàn xã”</t>
  </si>
  <si>
    <t>2.2.1.  Số công trình CNTT phục hồi, cải tạo</t>
  </si>
  <si>
    <t>2.2.2.  Số công trình CNTT xây mới</t>
  </si>
  <si>
    <t>2.2.3.  Số xã được cấp nước từ các CTCNTT phục hồi, cải tạo và xây mới</t>
  </si>
  <si>
    <t>2.2.4.  Số đấu nối nước mới từ các công trình CTCNTT phục hồi, cải tạo và xây mới</t>
  </si>
  <si>
    <t>2.2.5.  Số nhà tiêu hộ gia đình được cải thiện</t>
  </si>
  <si>
    <t>Trong đó Xây mới hoặc cải tạo từ 
nguồn vốn (Hộ)</t>
  </si>
  <si>
    <t>1.5.  Số nhà tiêu hộ gia đình được cải thiện đề xuất</t>
  </si>
  <si>
    <t>2.7. Tỷ lệ số dân nông thôn được cấp nước QC 02 trong năm</t>
  </si>
  <si>
    <t>Tổng số xây mới/cải tạo</t>
  </si>
  <si>
    <t>KẾ HOẠCH ĐẦU TƯ HÀNG NĂM</t>
  </si>
  <si>
    <t>DỮ LIỆU KẾ HOẠCH CHƯƠNG TRÌNH</t>
  </si>
  <si>
    <t xml:space="preserve">2.1.7.  Số công trình NS-VS trường học được cải tạo/xây mới  
           (Trong đó: cải tạo ? công trình; xây mới ? công trình). </t>
  </si>
  <si>
    <t xml:space="preserve">2.1.8.  Số công trình NS-VS trạm y tế được cải tạo/xây mới 
           (trong đó cải tạo ? công trình; xây mới ? công trình). </t>
  </si>
  <si>
    <t xml:space="preserve">2.2.7.  Số công trình NS-VS trường học được cải tạo/xây mới 
           (Trong đó: cải tạo ? công trình; xây mới ? công trình). </t>
  </si>
  <si>
    <t xml:space="preserve">2.2.8.  Số công trình NS-VS trạm y tế được cải tạo/xây mới 
           (Trong đó: cải tạo ? công trình; xây mới ? công trình). </t>
  </si>
  <si>
    <t>BIỂU 10: BẢNG TIẾN ĐỘ THỰC HIỆN CÁC DỰ ÁN CẤP  NƯỚC CHƯƠNG TRÌNH RB-SUPRSWS</t>
  </si>
  <si>
    <t>DLI 1.2: Kết quả thực hiện các xã đạt "Vệ sinh toàn xã" năm 2016</t>
  </si>
  <si>
    <t>Vốn WB Chương trình RB-SupRSWS</t>
  </si>
  <si>
    <t>4.1. Số hộ nông thôn có nhà tiêu HVS trong năm</t>
  </si>
  <si>
    <t>4.10.  Số xã đạt “Vệ sinh toàn xã” trong năm</t>
  </si>
  <si>
    <t>4.3. Tỷ lệ hộ nông thôn có nhà tiêu HVS trong năm</t>
  </si>
  <si>
    <t>4.7. Tỷ lệ hộ nông thôn có nhà tiêu được cải thiện trong năm</t>
  </si>
  <si>
    <t>4.8.  Số hộ nông thôn có nhà tiêu</t>
  </si>
  <si>
    <t>4.9.  Số hộ nông thôn chưa có nhà tiêu</t>
  </si>
  <si>
    <t>4.11. Số hộ nông thôn có điểm rửa tay</t>
  </si>
  <si>
    <t>4.5. Số hộ nông thôn có nhà tiêu được cải thiện trong năm</t>
  </si>
  <si>
    <t>2.3. Tỷ lệ số dân nông thôn được cấp nước HVS trong năm</t>
  </si>
  <si>
    <t>KẾT QUẢ THỰC HIỆN NĂM 2017</t>
  </si>
  <si>
    <t>2.4</t>
  </si>
  <si>
    <t>2.3.1.  Số công trình CNTT phục hồi, cải tạo</t>
  </si>
  <si>
    <t>2.3.2.  Số công trình CNTT xây mới</t>
  </si>
  <si>
    <t>2.3.3.  Số xã được cấp nước từ các CTCNTT phục hồi, cải tạo và xây mới</t>
  </si>
  <si>
    <t>2.3.4.  Số đấu nối nước mới từ các công trình CTCNTT phục hồi, cải tạo và xây mới</t>
  </si>
  <si>
    <t>2.3.5.  Số nhà tiêu hộ gia đình được cải thiện</t>
  </si>
  <si>
    <t xml:space="preserve">2.3.7.  Số công trình NS-VS trường học được cải tạo/xây mới 
           (Trong đó: cải tạo ? công trình; xây mới ? công trình). </t>
  </si>
  <si>
    <t xml:space="preserve">2.3.8.  Số công trình NS-VS trạm y tế được cải tạo/xây mới 
           (Trong đó: cải tạo ? công trình; xây mới ? công trình). </t>
  </si>
  <si>
    <t>2.4.1.  Số công trình CNTT đề xuất phục hồi, cải tạo</t>
  </si>
  <si>
    <t>2.4.2.  Số công trình CNTT đề xuất xây mới</t>
  </si>
  <si>
    <t>2.4.3.  Số xã dự kiến được cấp nước từ các CTCNTT phục hồi, cải tạo và xây mới</t>
  </si>
  <si>
    <t>2.4.4.  Số đấu nối nước mới dự kiến từ các công trình CTCNTT phục hồi, cải tạo và xây mới</t>
  </si>
  <si>
    <t>2.4.5.  Số nhà tiêu hộ gia đình được cải thiện đề xuất</t>
  </si>
  <si>
    <t>2.4.6.  Số xã đề xuất đạt “Vệ sinh toàn xã”</t>
  </si>
  <si>
    <t xml:space="preserve">2.4.7.  Số công trình NS-VS trường học dự kiến được cải tạo/xây mới 
           (Trong đó: cải tạo ? công trình; xây mới ? công trình). </t>
  </si>
  <si>
    <t xml:space="preserve">2.4.8.  Số công trình NS-VS trạm y tế dự kiến được cải tạo/xây mới 
           (Trong đó: cải tạo ? công trình; xây mới ? công trình). </t>
  </si>
  <si>
    <t>4.2.a   Vệ sinh hộ gia đình</t>
  </si>
  <si>
    <t xml:space="preserve">4.2.b   Cấp nước và vệ sinh trạm y tế </t>
  </si>
  <si>
    <t>4.2. Hợp phần 2: Vệ sinh nông thôn</t>
  </si>
  <si>
    <t>Kết quả thực hiện 
2017</t>
  </si>
  <si>
    <t>- Số đấu nối mới cấp nước từ công trình được đầu tư từ nguồn vốn của Chương trình (1)</t>
  </si>
  <si>
    <t>- Số đấu nối mới cấp nước từ công trình được đầu tư từ nguồn vốn khác hoàn thành sau 01/01/2016 (2)</t>
  </si>
  <si>
    <t>Kết quả thực hiện
2017</t>
  </si>
  <si>
    <t>Kết quả thực hiện 2017</t>
  </si>
  <si>
    <t>DLI 1.2: Kết quả thực hiện các xã đạt "Vệ sinh toàn xã" năm 2017</t>
  </si>
  <si>
    <t>3.2. Hợp phần 2: Vệ sinh nông thôn</t>
  </si>
  <si>
    <t>3.2.a   Vệ sinh hộ gia đình</t>
  </si>
  <si>
    <t xml:space="preserve">3.2.b   Cấp nước và vệ sinh trạm y tế </t>
  </si>
  <si>
    <t>2.2.6.  Số xã đạt “Vệ sinh toàn xã”</t>
  </si>
  <si>
    <t>2.3.6.  Số xã đạt “Vệ sinh toàn xã”</t>
  </si>
  <si>
    <t>KẾT QUẢ THỰC HIỆN NĂM 2018</t>
  </si>
  <si>
    <t>Kết quả thực hiện 
2018</t>
  </si>
  <si>
    <t>Ước 2021</t>
  </si>
  <si>
    <t>Ước 2022</t>
  </si>
  <si>
    <t>Kết quả  thực hiện 2018</t>
  </si>
  <si>
    <t>Kết quả thực hiện 2018</t>
  </si>
  <si>
    <t>Kết quả  thực hiện 
2018</t>
  </si>
  <si>
    <t>DLI 1.2: Kết quả thực hiện các xã đạt "Vệ sinh toàn xã" năm 2018</t>
  </si>
  <si>
    <t>DLI 1.2: Các xã dự kiến đạt "Vệ sinh toàn xã" năm 2021</t>
  </si>
  <si>
    <t>DLI 1.2: Các xã dự kiến đạt "Vệ sinh toàn xã" năm 2022</t>
  </si>
  <si>
    <t>Năm 2021</t>
  </si>
  <si>
    <t>Năm 2022</t>
  </si>
  <si>
    <t>Kết quả thực hiện
2018</t>
  </si>
  <si>
    <t>TỔNG CHI PHÍ DỰ KIẾN TỪ NĂM 2016-2022 (triệu VNĐ)</t>
  </si>
  <si>
    <t xml:space="preserve"> BIỂU 5: KẾ HOẠCH SỐ NHÀ TIÊU HỘ GIA ĐÌNH HVS ĐƯỢC XÂY MỚI HOẶC CẢI TẠO TỪ NĂM 2016 - 2022</t>
  </si>
  <si>
    <t>KẾ HOẠCH ĐẦU TƯ TỪ NĂM 2016-2022 (7 NĂM)</t>
  </si>
  <si>
    <t xml:space="preserve">1.7.  Số công trình NS-VS trường học dự kiến được cải tạo/xây mới trong kế hoạch 7 năm </t>
  </si>
  <si>
    <t>1.8.  Số công trình NS-VS trạm y tế dự kiến được cải tạo/xây mới trong kế hoạch 7 năm</t>
  </si>
  <si>
    <t xml:space="preserve">Số CTCN-VS cho trạm cần xây mới, cải tạo </t>
  </si>
  <si>
    <t>Số công trình CN-VS xây mới, cải tạo/trường học</t>
  </si>
  <si>
    <t>Số công trình CN-VS xây mới, cải tạo/trạm y tế</t>
  </si>
  <si>
    <t>Số CTCN-VS trường cần xây mới, cải tạo</t>
  </si>
  <si>
    <t xml:space="preserve">Tỉ lệ hộ gia đình SD nước HVS% </t>
  </si>
  <si>
    <t xml:space="preserve">Tỉ lệ hộ gia đình SD nước sạch đáp ứng QCVN% </t>
  </si>
  <si>
    <t xml:space="preserve">Tỉ lệ hộ nghèo SD nước HVS% </t>
  </si>
  <si>
    <t xml:space="preserve">Tỉ lệ hộ nghèo SD nước sạch đáp ứng QCVN% </t>
  </si>
  <si>
    <t>Số nhà tiêu HVS xây mới/cải tạo 
trong năm xây dựng từ nguồn</t>
  </si>
  <si>
    <t>Số đấu nối đạt được</t>
  </si>
  <si>
    <t xml:space="preserve">       BIỂU 4: TỔNG HỢP CÁC CHỈ SỐ GIẢI NGÂN CHƯƠNG TRÌNH RB-SUPRSWS  </t>
  </si>
  <si>
    <t>BIỂU 9: SỐ ĐẤU NỐI NƯỚC KẾ HOẠCH TỪ NĂM  2016-2022</t>
  </si>
  <si>
    <t>Vốn cấp phát</t>
  </si>
  <si>
    <t>KẾT QUẢ THỰC HIỆN NĂM 2019</t>
  </si>
  <si>
    <t>2.4.1.  Số công trình CNTT phục hồi, cải tạo</t>
  </si>
  <si>
    <t>2.4.2.  Số công trình CNTT xây mới</t>
  </si>
  <si>
    <t>2.4.3.  Số xã được cấp nước từ các CTCNTT phục hồi, cải tạo và xây mới</t>
  </si>
  <si>
    <t>2.4.4.  Số đấu nối nước mới từ các công trình CTCNTT phục hồi, cải tạo và xây mới</t>
  </si>
  <si>
    <t>2.4.5.  Số nhà tiêu hộ gia đình được cải thiện</t>
  </si>
  <si>
    <t>2.4.6.  Số xã đạt “Vệ sinh toàn xã”</t>
  </si>
  <si>
    <t xml:space="preserve">2.4.7.  Số công trình NS-VS trường học được cải tạo/xây mới 
           (Trong đó: cải tạo ? công trình; xây mới ? công trình). </t>
  </si>
  <si>
    <t xml:space="preserve">2.4.8.  Số công trình NS-VS trạm y tế được cải tạo/xây mới 
           (Trong đó: cải tạo ? công trình; xây mới ? công trình). </t>
  </si>
  <si>
    <t>2.5</t>
  </si>
  <si>
    <t>2.5.1.  Số công trình CNTT phục hồi, cải tạo</t>
  </si>
  <si>
    <t>2.5.2.  Số công trình CNTT xây mới</t>
  </si>
  <si>
    <t>2.5.3.  Số xã được cấp nước từ các CTCNTT phục hồi, cải tạo và xây mới</t>
  </si>
  <si>
    <t>2.5.4.  Số đấu nối nước mới từ các công trình CTCNTT phục hồi, cải tạo và xây mới</t>
  </si>
  <si>
    <t>2.5.5.  Số nhà tiêu hộ gia đình được cải thiện</t>
  </si>
  <si>
    <t>2.5.6.  Số xã đạt “Vệ sinh toàn xã”</t>
  </si>
  <si>
    <t xml:space="preserve">2.5.7.  Số công trình NS-VS trường học được cải tạo/xây mới 
           (Trong đó: cải tạo ? công trình; xây mới ? công trình). </t>
  </si>
  <si>
    <t>2.6</t>
  </si>
  <si>
    <t>Kết quả thực hiện 2019</t>
  </si>
  <si>
    <t>Mục tiêu Chương trình của tỉnh</t>
  </si>
  <si>
    <t>Kết quả thực hiện  2019</t>
  </si>
  <si>
    <t>Kết quả  thực hiện 2019</t>
  </si>
  <si>
    <t>Ước
2022</t>
  </si>
  <si>
    <t>Ước 
2022</t>
  </si>
  <si>
    <t>DLI 1.2: Kết quả thực hiện các xã đạt "Vệ sinh toàn xã"  năm 2019</t>
  </si>
  <si>
    <t>Tổng số hộ có nhà tiêu được cải thiện lũy tiến 2020</t>
  </si>
  <si>
    <t>Tổng số hộ có điểm rửa tay lũy tiến 2020</t>
  </si>
  <si>
    <t>Ước thực hiện  2022</t>
  </si>
  <si>
    <t>Ước thực hiện 2022</t>
  </si>
  <si>
    <t>Kết quả thực hiện
2019</t>
  </si>
  <si>
    <t>Nội dung</t>
  </si>
  <si>
    <t>(1)</t>
  </si>
  <si>
    <t>(2)</t>
  </si>
  <si>
    <t>(5)</t>
  </si>
  <si>
    <t>(6)</t>
  </si>
  <si>
    <t>(7)</t>
  </si>
  <si>
    <t>(8)</t>
  </si>
  <si>
    <t>ĐẦU TƯ PHÁT TRIỂN</t>
  </si>
  <si>
    <t xml:space="preserve">Cấp phát </t>
  </si>
  <si>
    <t>Vay lại</t>
  </si>
  <si>
    <t>SỰ NGHIỆP</t>
  </si>
  <si>
    <t>Ngành Giáo dục</t>
  </si>
  <si>
    <t>Cấp nước nông thôn 
(Ngành Nông nghiệp)</t>
  </si>
  <si>
    <t>Cấp nước và vệ sinh Trường học 
(Ngành Giáo dục)</t>
  </si>
  <si>
    <t>Truyền thông BCC, giám sát, đánh giá…</t>
  </si>
  <si>
    <t>Vốn đối ứng</t>
  </si>
  <si>
    <t>Cấp nước và vệ sinh Trạm y tế 
(Ngành Y tế)</t>
  </si>
  <si>
    <t>(3)</t>
  </si>
  <si>
    <t>Hỗ trợ xây mới vệ sinh hộ gia đình</t>
  </si>
  <si>
    <t>Đối ứng (Ngân sách địa phương, vốn huy động của dân và nguồn vốn hợp pháp khác)</t>
  </si>
  <si>
    <t>Kết quả thực hiện
2020</t>
  </si>
  <si>
    <t>- Số xã mới đạt vệ sinh toàn xã được đầu tư từ nguồn vốn của Chương trình (1)</t>
  </si>
  <si>
    <t>- Số xã mới đạt vệ sinh toàn xã được đầu tư từ nguồn vốn khác hoàn thành sau 01/01/2016 (2)</t>
  </si>
  <si>
    <t>DLI 1.2: Số xã mới đạt vệ sinh toàn xã (*)</t>
  </si>
  <si>
    <t>Kết quả thực hiện 2020</t>
  </si>
  <si>
    <t>Kết quả  thực hiện 2020</t>
  </si>
  <si>
    <t>Kết quả thực hiện  2020</t>
  </si>
  <si>
    <t>Đầu tư phát triển</t>
  </si>
  <si>
    <t>Vốn vay WB</t>
  </si>
  <si>
    <t>Vốn đối ứng (năm 2021, 2022)</t>
  </si>
  <si>
    <t>Sự nghiệp (năm 2021, 2022)</t>
  </si>
  <si>
    <t xml:space="preserve">Kinh phí các hợp phần/tiểu dự án theo Văn kiện Chương trình điều chỉnh </t>
  </si>
  <si>
    <t>(9)</t>
  </si>
  <si>
    <t>(11)</t>
  </si>
  <si>
    <t>(12)</t>
  </si>
  <si>
    <t>(10)</t>
  </si>
  <si>
    <t>(4)= (5)+(6)+
(7)+(8)+(9)+
(10)</t>
  </si>
  <si>
    <t>TỔNG: (I)+(II)</t>
  </si>
  <si>
    <t>TÌNH HÌNH CẤP NƯỚC NĂM 2021</t>
  </si>
  <si>
    <t>2.2. Lũy tích số dân nông thôn được cấp nước HVS hết năm 2021</t>
  </si>
  <si>
    <t>2.4. Lũy tích tỷ lệ số dân nông thôn được cấp nước HVS hết năm 2021</t>
  </si>
  <si>
    <t>2.6. Lũy tích số dân nông thôn được cấp nước QC 02 hết năm 2021</t>
  </si>
  <si>
    <t>2.8. Lũy tích tỷ lệ số dân nông thôn được cấp nước QC 02 hết năm 2021</t>
  </si>
  <si>
    <t>3.1.  Tổng số công trình CNTT tại khu vực nông thôn đến năm 2021</t>
  </si>
  <si>
    <t>VỆ SINH NĂM 2021</t>
  </si>
  <si>
    <t>4.2. Lũy tích số hộ nông thôn có nhà tiêu HVS đến hết năm 2021</t>
  </si>
  <si>
    <t>4.4. Lũy tích tỷ lệ hộ nông thôn có nhà tiêu HVS đến hết năm 2021</t>
  </si>
  <si>
    <t>4.6. Lũy tích số hộ nông thôn có nhà tiêu được cải thiện đến hết năm 2021</t>
  </si>
  <si>
    <t>TRƯỜNG HỌC NĂM 2021 (Điểm trường chính)</t>
  </si>
  <si>
    <t>5.3.  Lũy tích số trường học công lập có công trình nước và nhà tiêu HVS hết năm 2021</t>
  </si>
  <si>
    <t>5.5.  Lũy tích tỷ lệ trường học công lập có công trình nước và nhà tiêu HVS hết năm 2021</t>
  </si>
  <si>
    <t>TRẠM Y TẾ XÃ NĂM 2021</t>
  </si>
  <si>
    <t>5.1. Tổng số trường học đến hết năm 2021</t>
  </si>
  <si>
    <t>6.1.  Tổng số lượng trạm y tế xã đến hết năm 2021</t>
  </si>
  <si>
    <t>6.3.  Lũy tích số trạm y tế có nước và nhà tiêu HVS hết năm 2021</t>
  </si>
  <si>
    <t>6.5.  Lũy tích tỷ lệ số trạm y tế có nước và nhà tiêu HVS hết năm 2021</t>
  </si>
  <si>
    <t>MÔI TRƯỜNG NĂM 2021</t>
  </si>
  <si>
    <t>DỮ LIỆU NGHÈO VÀ DÂN TỘC THIỂU SỐ NĂM 2021</t>
  </si>
  <si>
    <t>8.1.  Số hộ nghèo năm 2021</t>
  </si>
  <si>
    <t>8.2.  Số hộ nghèo được tiếp cận nước HVS đến hết năm 2021</t>
  </si>
  <si>
    <t>8.3.  Số hộ nghèo có nhà tiêu HVS đến hết năm 2021</t>
  </si>
  <si>
    <t>8.4.  Số hộ nghèo có nhà tiêu được cải thiện đến hết năm 2021</t>
  </si>
  <si>
    <t>8.5.  Dân số các dân tộc thiểu số năm 2021</t>
  </si>
  <si>
    <t>8.6.  Số hộ thiểu số được tiếp cận nước HVS đến hết năm 2021</t>
  </si>
  <si>
    <t>8.7.  Số hộ thiểu số có nhà tiêu HVS đến hết năm 2021</t>
  </si>
  <si>
    <t>8.8.  Số hộ thiểu số có nhà tiêu được cải thiện đến hết năm 2021</t>
  </si>
  <si>
    <t>DỮ LIỆU GIỚI NĂM 2021</t>
  </si>
  <si>
    <t>THU HỒI ĐẤT NĂM 2021</t>
  </si>
  <si>
    <t>10.4 Tổng số tiền đền bù thu hồi đất (VND) (Vốn địa phương)</t>
  </si>
  <si>
    <t>KẾT QUẢ THỰC HIỆN NĂM 2020</t>
  </si>
  <si>
    <t>ƯỚC KẾT QUẢ THỰC HIỆN GIẢI NGÂN NĂM 2021 (triệu VNĐ)</t>
  </si>
  <si>
    <t>KẾ HOẠCH ĐẦU TƯ NĂM 2022</t>
  </si>
  <si>
    <t>a. Tập huấn</t>
  </si>
  <si>
    <t>b. Truyền thông</t>
  </si>
  <si>
    <t>c. Truyền thông thay đổi hành vi (BCC)</t>
  </si>
  <si>
    <t>d. Kiểm tra giám sát</t>
  </si>
  <si>
    <t xml:space="preserve">  'Khác</t>
  </si>
  <si>
    <t>Kết quả  thực hiện 2021</t>
  </si>
  <si>
    <t>Kết quả thực hiện  2021</t>
  </si>
  <si>
    <t xml:space="preserve">1.3. Số huyện </t>
  </si>
  <si>
    <t>1.4. Số xã nông thôn</t>
  </si>
  <si>
    <t>1.5. Số thành phố/thị xã</t>
  </si>
  <si>
    <t>1.6. Tổng số hộ nông thôn năm 2021</t>
  </si>
  <si>
    <t>1.7. Dân số nông thôn 2021</t>
  </si>
  <si>
    <t>1.8. Quy mô hộ trung bình</t>
  </si>
  <si>
    <t xml:space="preserve">       - Vốn đối ứng</t>
  </si>
  <si>
    <t xml:space="preserve">       - Vốn vay</t>
  </si>
  <si>
    <t>KẾT QUẢ THỰC HIỆN NĂM 2021</t>
  </si>
  <si>
    <t>Kết quả thực hiện 2021</t>
  </si>
  <si>
    <t>Kết quả  thực hiện
2021</t>
  </si>
  <si>
    <t xml:space="preserve">Tổng mức đầu tư được duyệt hoặc điều chỉnh 
(nếu có)  </t>
  </si>
  <si>
    <t>Ước KQ thực hiện  2021</t>
  </si>
  <si>
    <t>Vốn đối ứng địa phương 2021, 2022 (sự nghiệp)</t>
  </si>
  <si>
    <t xml:space="preserve">Ngành Y tế </t>
  </si>
  <si>
    <t>Hợp phần 3: Nâng cao năng lực truyền thông, giám sát đánh giá (vốn sự nghiệp)</t>
  </si>
  <si>
    <t>Kinh phí WB thực chuyển về tài khoản nguồn và kinh phí
địa phương đã bố trí để thực hiện</t>
  </si>
  <si>
    <t xml:space="preserve">BIỂU 12: TỔNG HỢP KINH PHÍ THỰC HIỆN CỦA CHƯƠNG TRÌNH </t>
  </si>
  <si>
    <t>Dự kiến bố trí kinh phí WB và địa phương để thực hiện năm 2022</t>
  </si>
  <si>
    <t>BIỂU 2: HIỆN TRẠNG VỆ SINH NHÀ TIÊU HỘ GIA ĐÌNH ĐẾN HẾT THÁNG 12/2021</t>
  </si>
  <si>
    <t xml:space="preserve">   BIỂU 6:       SỐ TRƯỜNG HỌC CÓ CÔNG TRÌNH NƯỚC SẠCH 
                          VÀ NHÀ VỆ SINH XÂY MỚI/CẢI TẠO TỪ NĂM 2016 - 2022</t>
  </si>
  <si>
    <t xml:space="preserve">   BIỂU 7:               SỐ TRẠM Y TẾ CÓ CÔNG TRÌNH NƯỚC SẠCH 
                                    VÀ NHÀ VỆ SINH XÂY MỚI/CẢI TẠO TỪ NĂM 2016 - 2022</t>
  </si>
  <si>
    <t xml:space="preserve">       BIỂU 11: TỔNG HỢP KINH PHÍ THỰC HIỆN CHƯƠNG TRÌNH</t>
  </si>
  <si>
    <t xml:space="preserve">1.2. Dân số năm 2021 </t>
  </si>
  <si>
    <t>10.1  Tổng diện tích đất thu hồi thuộc Chương trình (m2)</t>
  </si>
  <si>
    <t xml:space="preserve">Huyện Ngân Sơn </t>
  </si>
  <si>
    <t>Xã Cốc Đán</t>
  </si>
  <si>
    <t>Xã Thượng Ân</t>
  </si>
  <si>
    <t>Xã Bằng Vân</t>
  </si>
  <si>
    <t>Xã Đức Vân</t>
  </si>
  <si>
    <t>Xã Vân Tùng</t>
  </si>
  <si>
    <t>Xã Thượng Quan</t>
  </si>
  <si>
    <t>Thuần Mang</t>
  </si>
  <si>
    <t>TTr Nà Phặc</t>
  </si>
  <si>
    <t>Xã Trung Hòa</t>
  </si>
  <si>
    <t>Huyện Ba Bể</t>
  </si>
  <si>
    <t>Xã Nam Mẫu</t>
  </si>
  <si>
    <t>Xã Địa Linh</t>
  </si>
  <si>
    <t>Xã Đồng Phúc</t>
  </si>
  <si>
    <t>Xã Quảng Khê</t>
  </si>
  <si>
    <t>Thị trấn Ba Bể</t>
  </si>
  <si>
    <t>Xã Cao Thượng</t>
  </si>
  <si>
    <t>Xã Chu Hương</t>
  </si>
  <si>
    <t>Xã Hoàng Trì</t>
  </si>
  <si>
    <t>Xã Thượng Giáo</t>
  </si>
  <si>
    <t>Xã Bành Trạch</t>
  </si>
  <si>
    <t xml:space="preserve">Xã Yến Dương </t>
  </si>
  <si>
    <t>Xã Phúc Lộc</t>
  </si>
  <si>
    <t>Xã Khang Ninh</t>
  </si>
  <si>
    <t>Xã Hà Hiệu</t>
  </si>
  <si>
    <t>Xã Mỹ Phương</t>
  </si>
  <si>
    <t>TP Bắc Kạn</t>
  </si>
  <si>
    <t>P. Minh Khai</t>
  </si>
  <si>
    <t>P. Đức Xuân</t>
  </si>
  <si>
    <t>P. Sông Cầu</t>
  </si>
  <si>
    <t>P. Chí Kiên</t>
  </si>
  <si>
    <t>P. Huyền Tụng</t>
  </si>
  <si>
    <t>Xã Dương Quang</t>
  </si>
  <si>
    <t xml:space="preserve">Xã Nông Thượng </t>
  </si>
  <si>
    <t>P. Xuất Hóa</t>
  </si>
  <si>
    <t>Huyện Pắc Nặm</t>
  </si>
  <si>
    <t>Xã  Nghiên Loan</t>
  </si>
  <si>
    <t>Xã Bằng Thành</t>
  </si>
  <si>
    <t>Xã An Thắng</t>
  </si>
  <si>
    <t>Xã Công Bằng</t>
  </si>
  <si>
    <t>Xã Cao Tân</t>
  </si>
  <si>
    <t>Xã Bộc Bố</t>
  </si>
  <si>
    <t>Xã Nhạn Môn</t>
  </si>
  <si>
    <t>Xã Cổ Linh</t>
  </si>
  <si>
    <t>Xã Giáo Hiệu</t>
  </si>
  <si>
    <t>Xã Xuân La</t>
  </si>
  <si>
    <t xml:space="preserve">V </t>
  </si>
  <si>
    <t>Huyện Na Rì</t>
  </si>
  <si>
    <t>Xã Liêm Thủy</t>
  </si>
  <si>
    <t>Xuân Dương</t>
  </si>
  <si>
    <t>Xã Dương Sơn</t>
  </si>
  <si>
    <t xml:space="preserve">Xã Trần Phú </t>
  </si>
  <si>
    <t>Xã Cư Lễ</t>
  </si>
  <si>
    <t>Xã Sơn Thành</t>
  </si>
  <si>
    <t>Xã Văn Minh</t>
  </si>
  <si>
    <t xml:space="preserve">Xã Văn Lang </t>
  </si>
  <si>
    <t>Xã Lương Thượng</t>
  </si>
  <si>
    <t xml:space="preserve">Xã Kim Hỷ </t>
  </si>
  <si>
    <t>TTr Yến Lạc</t>
  </si>
  <si>
    <t>Xã Kim Lư</t>
  </si>
  <si>
    <t>Xã Cường Lợi</t>
  </si>
  <si>
    <t>Xã Văn Vũ</t>
  </si>
  <si>
    <t>Xã Quang Phong</t>
  </si>
  <si>
    <t>Xã Côn Minh</t>
  </si>
  <si>
    <t xml:space="preserve">Xã Đổng xá </t>
  </si>
  <si>
    <t>Huyện Chợ Đồn</t>
  </si>
  <si>
    <t>Xã Xuân Lạc</t>
  </si>
  <si>
    <t>Xã Nam Cường</t>
  </si>
  <si>
    <t>Xã Quảng Bạch</t>
  </si>
  <si>
    <t>Xã Ngọc Phái</t>
  </si>
  <si>
    <t>TTr Bằng Lũng</t>
  </si>
  <si>
    <t>Xã Bản Thi</t>
  </si>
  <si>
    <t xml:space="preserve">Xã Yên Thịnh </t>
  </si>
  <si>
    <t>Xã Yên Thượng</t>
  </si>
  <si>
    <t>Xã Bằng Lãng</t>
  </si>
  <si>
    <t>Xã Lương Bằng</t>
  </si>
  <si>
    <t>Xã Nghĩa Tá</t>
  </si>
  <si>
    <t>Xã Bình Trung</t>
  </si>
  <si>
    <t xml:space="preserve">Xã Yên phong </t>
  </si>
  <si>
    <t>Xã Yên Mỹ</t>
  </si>
  <si>
    <t>Xã Đại Xảo</t>
  </si>
  <si>
    <t xml:space="preserve">Xã Đồng Thắng </t>
  </si>
  <si>
    <t>Xã Phương  Viên</t>
  </si>
  <si>
    <t>Xã Bằng Phúc</t>
  </si>
  <si>
    <t>Huyện Chợ Mới</t>
  </si>
  <si>
    <t xml:space="preserve">Xã Thanh Thịnh </t>
  </si>
  <si>
    <t>Xã Thanh Mai</t>
  </si>
  <si>
    <t>Xa Tân Sơn</t>
  </si>
  <si>
    <t>Xã Hòa Mục</t>
  </si>
  <si>
    <t>Xã Quảng Chu</t>
  </si>
  <si>
    <t>Xã Như Cố</t>
  </si>
  <si>
    <t xml:space="preserve">Xã Yên Hân </t>
  </si>
  <si>
    <t>Xã Mai Lạp</t>
  </si>
  <si>
    <t xml:space="preserve">Thị trấn Đông Tâm </t>
  </si>
  <si>
    <t>Xã Nông Hạ</t>
  </si>
  <si>
    <t>Xã Bình Văn</t>
  </si>
  <si>
    <t>Xã Thanh Vận</t>
  </si>
  <si>
    <t>Xã Cao Kỳ</t>
  </si>
  <si>
    <t>Xã Yên Cư</t>
  </si>
  <si>
    <t xml:space="preserve">Huyện Bạch Thông </t>
  </si>
  <si>
    <t>Xã Cao Sơn</t>
  </si>
  <si>
    <t xml:space="preserve">Xã Vũ Muộn </t>
  </si>
  <si>
    <t>Xã Sĩ Bình</t>
  </si>
  <si>
    <t>TTr Phủ Thông</t>
  </si>
  <si>
    <t xml:space="preserve">Xã Vi Hương </t>
  </si>
  <si>
    <t xml:space="preserve">Xã Tân Tú </t>
  </si>
  <si>
    <t xml:space="preserve">Xã Quân Hà </t>
  </si>
  <si>
    <t>Xã Cẩm Giàng</t>
  </si>
  <si>
    <t>Xã Nguyên Phúc</t>
  </si>
  <si>
    <t>Xã Lục Bình</t>
  </si>
  <si>
    <t>Xã Đôn Phong</t>
  </si>
  <si>
    <t>Xã Dương Phong</t>
  </si>
  <si>
    <t>Xã Quang Thuận</t>
  </si>
  <si>
    <t>Xã Mỹ Thanh</t>
  </si>
  <si>
    <t xml:space="preserve">Cộng </t>
  </si>
  <si>
    <t>xã Thuần Mang</t>
  </si>
  <si>
    <t xml:space="preserve">xã Hiệp lực </t>
  </si>
  <si>
    <t>Cư Lễ</t>
  </si>
  <si>
    <t>Đổng xá</t>
  </si>
  <si>
    <t>Kim Hỷ</t>
  </si>
  <si>
    <t>Văn Vũ</t>
  </si>
  <si>
    <t xml:space="preserve">Liêm Thủy </t>
  </si>
  <si>
    <t>Cường Lợi</t>
  </si>
  <si>
    <t>Dương Sơn</t>
  </si>
  <si>
    <t xml:space="preserve"> Trần Phú</t>
  </si>
  <si>
    <t>Lương Thượng</t>
  </si>
  <si>
    <t>Quang Phong</t>
  </si>
  <si>
    <t>Văn Minh</t>
  </si>
  <si>
    <t>Côn Minh</t>
  </si>
  <si>
    <t>Kim Lư</t>
  </si>
  <si>
    <t>Sơn Thành</t>
  </si>
  <si>
    <t>Thanh Thịnh</t>
  </si>
  <si>
    <t>Quảng Chu</t>
  </si>
  <si>
    <t>Yên Hân</t>
  </si>
  <si>
    <t>Như Cố</t>
  </si>
  <si>
    <t>Thanh Mai</t>
  </si>
  <si>
    <t>Thanh Vận</t>
  </si>
  <si>
    <t>Bình Văn</t>
  </si>
  <si>
    <t>Nông Hạ</t>
  </si>
  <si>
    <t>Cao Kỳ</t>
  </si>
  <si>
    <t>Mai Lạp</t>
  </si>
  <si>
    <t>Yên Cư</t>
  </si>
  <si>
    <t>Hòa Mục</t>
  </si>
  <si>
    <t>Huyện Bạch Thông</t>
  </si>
  <si>
    <t>Cao Sơn</t>
  </si>
  <si>
    <t>Sỹ Bình</t>
  </si>
  <si>
    <t>Lục Bình</t>
  </si>
  <si>
    <t>Quang Thuận</t>
  </si>
  <si>
    <t>Nguyên Phúc</t>
  </si>
  <si>
    <t>Tân Tú</t>
  </si>
  <si>
    <t>Quân Hà</t>
  </si>
  <si>
    <t>Đôn Phong</t>
  </si>
  <si>
    <t>Mỹ Thanh</t>
  </si>
  <si>
    <t>Vũ Muộn</t>
  </si>
  <si>
    <t>Cẩm Giàng</t>
  </si>
  <si>
    <t>Dương Phong</t>
  </si>
  <si>
    <t>Vi Hương</t>
  </si>
  <si>
    <t>Bản Thi</t>
  </si>
  <si>
    <t>Bằng Lãng</t>
  </si>
  <si>
    <t>Bằng Phúc</t>
  </si>
  <si>
    <t>Bình Trung</t>
  </si>
  <si>
    <t>Đại Sảo</t>
  </si>
  <si>
    <t>Đồng Lạc</t>
  </si>
  <si>
    <t>Đồng Thắng</t>
  </si>
  <si>
    <t>Lương Bằng</t>
  </si>
  <si>
    <t>Nam Cường</t>
  </si>
  <si>
    <t>Nghĩa Tá</t>
  </si>
  <si>
    <t>Ngọc Phái</t>
  </si>
  <si>
    <t>Phương Viên</t>
  </si>
  <si>
    <t>Quảng Bạch</t>
  </si>
  <si>
    <t>Xuân lạc</t>
  </si>
  <si>
    <t>Yên Mỹ</t>
  </si>
  <si>
    <t>Yên Phong</t>
  </si>
  <si>
    <t>Yên Thịnh</t>
  </si>
  <si>
    <t>Yên Thượng</t>
  </si>
  <si>
    <t>Huyện Ngân Sơn</t>
  </si>
  <si>
    <t xml:space="preserve"> Bằng Vân</t>
  </si>
  <si>
    <t>Cốc Đán</t>
  </si>
  <si>
    <t>Đức Vân</t>
  </si>
  <si>
    <t xml:space="preserve"> Hiệp Lực</t>
  </si>
  <si>
    <t>Thượng Ân</t>
  </si>
  <si>
    <t>Thượng Quan</t>
  </si>
  <si>
    <t>Trung Hoà</t>
  </si>
  <si>
    <t>Vân Tùng</t>
  </si>
  <si>
    <t>Cao Thượng</t>
  </si>
  <si>
    <t>Bành Trạch</t>
  </si>
  <si>
    <t>Chu Hương</t>
  </si>
  <si>
    <t>Địa Linh</t>
  </si>
  <si>
    <t>Đồng Phúc</t>
  </si>
  <si>
    <t>Hà Hiệu</t>
  </si>
  <si>
    <t>Khang Ninh</t>
  </si>
  <si>
    <t>Mỹ Phương</t>
  </si>
  <si>
    <t>Nam Mẫu</t>
  </si>
  <si>
    <t>Phúc Lộc</t>
  </si>
  <si>
    <t>Quảng Khê</t>
  </si>
  <si>
    <t>Thượng Giáo</t>
  </si>
  <si>
    <t>Yến Dương</t>
  </si>
  <si>
    <t>Hoàng Trĩ</t>
  </si>
  <si>
    <t>Pác Nặm</t>
  </si>
  <si>
    <t>An Thắng</t>
  </si>
  <si>
    <t>Bằng Thành</t>
  </si>
  <si>
    <t xml:space="preserve"> Bộc Bố</t>
  </si>
  <si>
    <t>Cao Tân</t>
  </si>
  <si>
    <t xml:space="preserve"> Cổ Linh</t>
  </si>
  <si>
    <t xml:space="preserve"> Công Bằng</t>
  </si>
  <si>
    <t xml:space="preserve"> Giáo Hiệu</t>
  </si>
  <si>
    <t xml:space="preserve"> Nghiên Loan</t>
  </si>
  <si>
    <t xml:space="preserve"> Nhạn Môn</t>
  </si>
  <si>
    <t xml:space="preserve"> Xuân La</t>
  </si>
  <si>
    <t>Dương Quang</t>
  </si>
  <si>
    <t>Nông Thượng</t>
  </si>
  <si>
    <t>Ngân Sơn</t>
  </si>
  <si>
    <t xml:space="preserve">Bằng Vân </t>
  </si>
  <si>
    <t xml:space="preserve">Cốc Đán </t>
  </si>
  <si>
    <t>36,8</t>
  </si>
  <si>
    <t xml:space="preserve">Thương Ân </t>
  </si>
  <si>
    <t>50,2</t>
  </si>
  <si>
    <t xml:space="preserve">Trung Hòa </t>
  </si>
  <si>
    <t>53,7</t>
  </si>
  <si>
    <t xml:space="preserve">Đức Vân </t>
  </si>
  <si>
    <t>60,7</t>
  </si>
  <si>
    <t xml:space="preserve">Nà Phặc </t>
  </si>
  <si>
    <t>55,3</t>
  </si>
  <si>
    <t>Bạch Thông</t>
  </si>
  <si>
    <t xml:space="preserve">Cao Sơn </t>
  </si>
  <si>
    <t xml:space="preserve">Tân Tú </t>
  </si>
  <si>
    <t xml:space="preserve">Vũ Muộn  </t>
  </si>
  <si>
    <t>60,1</t>
  </si>
  <si>
    <t xml:space="preserve">Sỹ Bình </t>
  </si>
  <si>
    <t>60,0</t>
  </si>
  <si>
    <t>Lục bình</t>
  </si>
  <si>
    <t>72,5</t>
  </si>
  <si>
    <t xml:space="preserve">Đôn Phong </t>
  </si>
  <si>
    <t>60,5</t>
  </si>
  <si>
    <t xml:space="preserve">Quang Thuận </t>
  </si>
  <si>
    <t>Ba Bê</t>
  </si>
  <si>
    <t xml:space="preserve">Chu Hương </t>
  </si>
  <si>
    <t xml:space="preserve">Yên Dương </t>
  </si>
  <si>
    <t>Bộc Bố</t>
  </si>
  <si>
    <t xml:space="preserve">Giáo Hiệu </t>
  </si>
  <si>
    <t>Công Bằng</t>
  </si>
  <si>
    <t>58,6</t>
  </si>
  <si>
    <t>Nhạn Môn</t>
  </si>
  <si>
    <t>45,5</t>
  </si>
  <si>
    <t>35,5</t>
  </si>
  <si>
    <t xml:space="preserve">Nghiên Loan </t>
  </si>
  <si>
    <t>45,0</t>
  </si>
  <si>
    <t>Na Rì</t>
  </si>
  <si>
    <t xml:space="preserve">Cư Lễ </t>
  </si>
  <si>
    <t xml:space="preserve">Kim Lư </t>
  </si>
  <si>
    <t xml:space="preserve">Quang Phong </t>
  </si>
  <si>
    <t xml:space="preserve">Lương Thượng </t>
  </si>
  <si>
    <t>54,6</t>
  </si>
  <si>
    <t xml:space="preserve">Văn Minh </t>
  </si>
  <si>
    <t>62,4</t>
  </si>
  <si>
    <t xml:space="preserve">Văn lang </t>
  </si>
  <si>
    <t>56,5</t>
  </si>
  <si>
    <t>50,5</t>
  </si>
  <si>
    <t>62,5</t>
  </si>
  <si>
    <t xml:space="preserve">Xuân Dương </t>
  </si>
  <si>
    <t>52,8</t>
  </si>
  <si>
    <t>Chợ Đồn</t>
  </si>
  <si>
    <t xml:space="preserve">PhươngViên </t>
  </si>
  <si>
    <t xml:space="preserve">Bằng Phúc </t>
  </si>
  <si>
    <t xml:space="preserve">Xuân Lạc </t>
  </si>
  <si>
    <t>42,3</t>
  </si>
  <si>
    <t>60,9</t>
  </si>
  <si>
    <t>66,9</t>
  </si>
  <si>
    <t xml:space="preserve">Bản Thi </t>
  </si>
  <si>
    <t>68,5</t>
  </si>
  <si>
    <t>62,8</t>
  </si>
  <si>
    <t xml:space="preserve">Yên Thượng </t>
  </si>
  <si>
    <t>40,6</t>
  </si>
  <si>
    <t xml:space="preserve">Đồng thắng </t>
  </si>
  <si>
    <t>65,1</t>
  </si>
  <si>
    <t>Chợ Mới</t>
  </si>
  <si>
    <t xml:space="preserve">Nông Thịnh (Thanh Thịnh) </t>
  </si>
  <si>
    <t>Như cố</t>
  </si>
  <si>
    <t xml:space="preserve">Yên Đĩnh </t>
  </si>
  <si>
    <t>67,8</t>
  </si>
  <si>
    <t xml:space="preserve">Yên Cư </t>
  </si>
  <si>
    <t>52,5</t>
  </si>
  <si>
    <t>Quang Chu</t>
  </si>
  <si>
    <t>64,7</t>
  </si>
  <si>
    <t xml:space="preserve">Hòa Mục </t>
  </si>
  <si>
    <t>57,5</t>
  </si>
  <si>
    <t xml:space="preserve">Mai Lạp </t>
  </si>
  <si>
    <t>65,4</t>
  </si>
  <si>
    <t>Hiệp Lực</t>
  </si>
  <si>
    <t xml:space="preserve">Quân Hà </t>
  </si>
  <si>
    <t>Trần Phú</t>
  </si>
  <si>
    <t>Trường mầm non Dương Phong</t>
  </si>
  <si>
    <t>Trường TH&amp;THCS Dương Phong</t>
  </si>
  <si>
    <t>Trường mầm non Đôn Phong</t>
  </si>
  <si>
    <t>Trường tiểu học Đôn Phong</t>
  </si>
  <si>
    <t>Trường mầm non Cẩm Giàng</t>
  </si>
  <si>
    <t>I.4</t>
  </si>
  <si>
    <t>Xã Quân Hà</t>
  </si>
  <si>
    <t>Trường TH&amp;THCS Quân Hà</t>
  </si>
  <si>
    <t>I.5</t>
  </si>
  <si>
    <t>Trường mầm non Mỹ Thanh</t>
  </si>
  <si>
    <t>I.6</t>
  </si>
  <si>
    <t>Trường TH&amp;THCS Quang Thuận</t>
  </si>
  <si>
    <t>I.7</t>
  </si>
  <si>
    <t>Trường mầm non Lục Bình</t>
  </si>
  <si>
    <t>I.8</t>
  </si>
  <si>
    <t>Thị trấn Phủ Thông</t>
  </si>
  <si>
    <t>Trường mầm non Phương Thông</t>
  </si>
  <si>
    <t>Trường mầm non Bình Trung</t>
  </si>
  <si>
    <t>Trường tiểu học Bình Trung</t>
  </si>
  <si>
    <t>Trường mầm non Nam Cường</t>
  </si>
  <si>
    <t>Trường tiểu học Nam Cường</t>
  </si>
  <si>
    <t>Trường THCS Nam Cường</t>
  </si>
  <si>
    <t>Trường mầm non Phương Viên</t>
  </si>
  <si>
    <t>Trường tiểu học Phương Viên</t>
  </si>
  <si>
    <t>Trường THCS Phương Viên</t>
  </si>
  <si>
    <t>II.4</t>
  </si>
  <si>
    <t>Trường mầm non Bằng Phúc</t>
  </si>
  <si>
    <t>Trường tiểu học Bằng Phúc</t>
  </si>
  <si>
    <t>Trường THCS Bằng Phúc</t>
  </si>
  <si>
    <t>II.5</t>
  </si>
  <si>
    <t>Thị trấn Bằng Lũng</t>
  </si>
  <si>
    <t>Trường tiểu học Thị trấn Bằng Lũng</t>
  </si>
  <si>
    <t>Trường PTDT nội trú Chợ Đồn</t>
  </si>
  <si>
    <t>II.6</t>
  </si>
  <si>
    <t>Trường tiểu học Ngọc Phái</t>
  </si>
  <si>
    <t>II.7</t>
  </si>
  <si>
    <t>Xã Đại Sảo</t>
  </si>
  <si>
    <t>Trường TH&amp;THCS Đại Sảo</t>
  </si>
  <si>
    <t>II.8</t>
  </si>
  <si>
    <t>Trường tiểu học Đồng Lạc</t>
  </si>
  <si>
    <t>II.9</t>
  </si>
  <si>
    <t>Trường tiểu học Bản Thi</t>
  </si>
  <si>
    <t>II.10</t>
  </si>
  <si>
    <t>Trường tiểu học Tân Lập</t>
  </si>
  <si>
    <t>II.11</t>
  </si>
  <si>
    <t>Trường TH&amp;THCS Yên Mỹ</t>
  </si>
  <si>
    <t>II.12</t>
  </si>
  <si>
    <t>Trường TH &amp;THCS Lương Bằng</t>
  </si>
  <si>
    <t>II.13</t>
  </si>
  <si>
    <t>Xã Yên Nhuận</t>
  </si>
  <si>
    <t>Trường tiểu học Yên Nhuận</t>
  </si>
  <si>
    <t>II.14</t>
  </si>
  <si>
    <t xml:space="preserve">Trường tiểu học Xuân Lạc </t>
  </si>
  <si>
    <t>Trường mầm non Quảng Khê</t>
  </si>
  <si>
    <t>Trường tiểu học Quảng Khê</t>
  </si>
  <si>
    <t>Trường tiểu học Đồng Phúc</t>
  </si>
  <si>
    <t>Trường THCS Đồng Phúc</t>
  </si>
  <si>
    <t>Trường tiểu học Địa Linh</t>
  </si>
  <si>
    <t>Trường THCS Địa Linh</t>
  </si>
  <si>
    <t>III.4</t>
  </si>
  <si>
    <t>Trường MN Phúc Lộc</t>
  </si>
  <si>
    <t>Trường PTDTBT TH Phúc Lộc</t>
  </si>
  <si>
    <t>Trường PTDTBT THCS Phúc Lộc</t>
  </si>
  <si>
    <t>III.5</t>
  </si>
  <si>
    <t>Trường tiểu học Hà Hiệu</t>
  </si>
  <si>
    <t>Trường THCS Hà Hiệu</t>
  </si>
  <si>
    <t>III.6</t>
  </si>
  <si>
    <t>Trường tiểu học Khang Ninh</t>
  </si>
  <si>
    <t>Trường THCS Khang Ninh</t>
  </si>
  <si>
    <t>III.7</t>
  </si>
  <si>
    <t>Xã Hoàng Trĩ</t>
  </si>
  <si>
    <t>Trường TH&amp;THCS Hoàng Trĩ</t>
  </si>
  <si>
    <t>III.8</t>
  </si>
  <si>
    <t>Trường mầm non Cao Thượng</t>
  </si>
  <si>
    <t>Trường tiểu học Cao Thượng</t>
  </si>
  <si>
    <t>III.9</t>
  </si>
  <si>
    <t>Xã Yến Dương</t>
  </si>
  <si>
    <t>Trường tiểu học Yến Dương</t>
  </si>
  <si>
    <t>III.10</t>
  </si>
  <si>
    <t>Trường THCS Thượng Giáo</t>
  </si>
  <si>
    <t>III.11</t>
  </si>
  <si>
    <t>Trường tiểu học Chu Hương</t>
  </si>
  <si>
    <t>Trường THCS Chu Hương</t>
  </si>
  <si>
    <t>III.12</t>
  </si>
  <si>
    <t>Trường tiểu học Bành Trạch</t>
  </si>
  <si>
    <t>Trường THCS Bành Trạch</t>
  </si>
  <si>
    <t>III.13</t>
  </si>
  <si>
    <t>Trường MN Mỹ Phương</t>
  </si>
  <si>
    <t>IV.1</t>
  </si>
  <si>
    <t>Thị trấn Đồng Tâm</t>
  </si>
  <si>
    <t>Trường tiểu học Yên Đĩnh</t>
  </si>
  <si>
    <t>IV.2</t>
  </si>
  <si>
    <t>Trường tiểu học Nông Hạ</t>
  </si>
  <si>
    <t>Trường THCS Nông Hạ</t>
  </si>
  <si>
    <t>Trường mầm non Nông Hạ</t>
  </si>
  <si>
    <t>IV.3</t>
  </si>
  <si>
    <t>Trường mầm non Cao Kỳ</t>
  </si>
  <si>
    <t>Trường Tiểu học Cao Kỳ</t>
  </si>
  <si>
    <t>Trường THCS Cao Kỳ</t>
  </si>
  <si>
    <t>IV.4</t>
  </si>
  <si>
    <t>Trường TH&amp;THCS Tân Sơn</t>
  </si>
  <si>
    <t>IV.5</t>
  </si>
  <si>
    <t>Trường mầm non Hòa Mục</t>
  </si>
  <si>
    <t>Trường tiểu học Hòa Mục</t>
  </si>
  <si>
    <t>IV.6</t>
  </si>
  <si>
    <t>Trường mầm non Mai Lạp</t>
  </si>
  <si>
    <t>Trường TH&amp;THCS Mai Lạp</t>
  </si>
  <si>
    <t>IV.7</t>
  </si>
  <si>
    <t>Trường THCS Thanh Mai</t>
  </si>
  <si>
    <t>IV.8</t>
  </si>
  <si>
    <t>Trường mầm non Quảng Chu</t>
  </si>
  <si>
    <t>Trường tiểu học Quảng Chu</t>
  </si>
  <si>
    <t>Trường THCS Quảng Chu</t>
  </si>
  <si>
    <t>IV.9</t>
  </si>
  <si>
    <t>Xã Yên Hân</t>
  </si>
  <si>
    <t>Trường tiểu học Yên Hân</t>
  </si>
  <si>
    <t>IV.10</t>
  </si>
  <si>
    <t>Trường tiểu học Yên Cư</t>
  </si>
  <si>
    <t>IV.11</t>
  </si>
  <si>
    <t>Trường mầm non Như Cố</t>
  </si>
  <si>
    <t>Trường tiểu học Như Cố</t>
  </si>
  <si>
    <t>IV.12</t>
  </si>
  <si>
    <t>Trường tiểu học Thanh Vận</t>
  </si>
  <si>
    <t>V.1</t>
  </si>
  <si>
    <t>Trường tiểu học Bằng Vân</t>
  </si>
  <si>
    <t>Trường THCS Bằng Vân</t>
  </si>
  <si>
    <t>V.2</t>
  </si>
  <si>
    <t>Trường tiểu học Cốc Đán</t>
  </si>
  <si>
    <t>Trường PTDTBT THCS Cốc Đán</t>
  </si>
  <si>
    <t>V.3</t>
  </si>
  <si>
    <t>Xã Hiệp Lực</t>
  </si>
  <si>
    <t>Trường tiểu học Hương Nê</t>
  </si>
  <si>
    <t>Trường tiểu học Lãng Ngâm</t>
  </si>
  <si>
    <t>Trường THCS Lãng Ngâm</t>
  </si>
  <si>
    <t>V.4</t>
  </si>
  <si>
    <t>Xã Thuần Mang</t>
  </si>
  <si>
    <t>Trường mầm non Thuần Mang</t>
  </si>
  <si>
    <t>Trường tiểu học Thuần Mang</t>
  </si>
  <si>
    <t>Trường PTDTBT THCS Thuần Mang</t>
  </si>
  <si>
    <t>V.5</t>
  </si>
  <si>
    <t>Trường mầm non Trung Hòa</t>
  </si>
  <si>
    <t>Trường tiểu học Trung Hòa</t>
  </si>
  <si>
    <t>V.6</t>
  </si>
  <si>
    <t>Trường tiểu học Thượng Quan</t>
  </si>
  <si>
    <t>Trường PTDTBT THCS Thượng Quan</t>
  </si>
  <si>
    <t>V.7</t>
  </si>
  <si>
    <t>Trường TH&amp;THCS Thượng Ân</t>
  </si>
  <si>
    <t>V.8</t>
  </si>
  <si>
    <t>Thị trấn Nà Phặc</t>
  </si>
  <si>
    <t>Trường tiểu học Nà Phặc</t>
  </si>
  <si>
    <t>VI.1</t>
  </si>
  <si>
    <t>Trường mầm non Quang Phong</t>
  </si>
  <si>
    <t>Trường TH&amp;THCS Quang Phong</t>
  </si>
  <si>
    <t>VI.2</t>
  </si>
  <si>
    <t>Trường TH&amp;THCS Kim Lư</t>
  </si>
  <si>
    <t>VI.3</t>
  </si>
  <si>
    <t>Xã Xuân Dương</t>
  </si>
  <si>
    <t>Trường TH&amp;THCS Xuân Dương</t>
  </si>
  <si>
    <t>Trường mầm non Xuân Dương</t>
  </si>
  <si>
    <t>VI.4</t>
  </si>
  <si>
    <t>Trường mầm non Dương Sơn</t>
  </si>
  <si>
    <t>VI.5</t>
  </si>
  <si>
    <t>Xã Đổng Xá</t>
  </si>
  <si>
    <t>Trường mầm non Đổng Xá</t>
  </si>
  <si>
    <t>Trường PTDTBT THCS Đổng Xá</t>
  </si>
  <si>
    <t>VI.6</t>
  </si>
  <si>
    <t>Trường mầm non Lương Thành</t>
  </si>
  <si>
    <t>VI.7</t>
  </si>
  <si>
    <t>Trường mầm non Vũ Loan</t>
  </si>
  <si>
    <t>Trường PTDTBT TH Văn Vũ</t>
  </si>
  <si>
    <t>Trường PTDTBT THCS Văn Vũ</t>
  </si>
  <si>
    <t>VI.8</t>
  </si>
  <si>
    <t>Trường THCS Cư Lễ</t>
  </si>
  <si>
    <t>VI.9</t>
  </si>
  <si>
    <t>Xã Trần Phú</t>
  </si>
  <si>
    <t>Trường mầm non Hữu Thác</t>
  </si>
  <si>
    <t>VI.10</t>
  </si>
  <si>
    <t>Xã Kim Hỷ</t>
  </si>
  <si>
    <t>Trường tiểu học Kim Hỷ</t>
  </si>
  <si>
    <t>VI.11</t>
  </si>
  <si>
    <t>Trường TH&amp;THCS Cường Lợi</t>
  </si>
  <si>
    <t>VI.12</t>
  </si>
  <si>
    <t>Thị trấn Yến Lạc</t>
  </si>
  <si>
    <t>Trường PTDT Nội Trú Na Rì</t>
  </si>
  <si>
    <t>Trường tiểu học Yến Lạc</t>
  </si>
  <si>
    <t>Huyện Pác Nặm</t>
  </si>
  <si>
    <t>VII.1</t>
  </si>
  <si>
    <t>Trường PTDTBT THCS Bằng Thành</t>
  </si>
  <si>
    <t>Trường Tiểu học Bằng Thành II</t>
  </si>
  <si>
    <t>VII.2</t>
  </si>
  <si>
    <t>Trường TH &amp; THCS An Thắng</t>
  </si>
  <si>
    <t>VII.3</t>
  </si>
  <si>
    <t>Trường Mầm non Công Bằng</t>
  </si>
  <si>
    <t>Trường PTDTBT THCS Công Bằng</t>
  </si>
  <si>
    <t>VII.4</t>
  </si>
  <si>
    <t>Trường Mầm non Cổ Linh</t>
  </si>
  <si>
    <t>Trường tiểu học Cổ Linh</t>
  </si>
  <si>
    <t>VII.5</t>
  </si>
  <si>
    <t>Trường Tiểu học Xuân La</t>
  </si>
  <si>
    <t>Xã Nghiên Loan</t>
  </si>
  <si>
    <t>Trường Tiểu học Nghiên Loan II</t>
  </si>
  <si>
    <t>VII.6</t>
  </si>
  <si>
    <t>Trường TH &amp; THCS Giáo Hiệu</t>
  </si>
  <si>
    <t>VII.7</t>
  </si>
  <si>
    <t>Trường mầm non Bộc Bố</t>
  </si>
  <si>
    <t>Trường tiểu học Bộc Bố</t>
  </si>
  <si>
    <t>VII.8</t>
  </si>
  <si>
    <t>Trường tiểu học Cao Tân</t>
  </si>
  <si>
    <t>Thành Phố Bắc Kạn</t>
  </si>
  <si>
    <t>Xã Nông Thượng</t>
  </si>
  <si>
    <t>Trường tiểu học Nông Thượng</t>
  </si>
  <si>
    <t>Trường mầm non Nông Thượng</t>
  </si>
  <si>
    <t>Trạm Y tế xã Cao Tân</t>
  </si>
  <si>
    <t>Trạm Y tế xã Công Bằng</t>
  </si>
  <si>
    <t>Trạm Y tế xã Cẩm Giàng</t>
  </si>
  <si>
    <t>Trạm Y tế xã Lục Bình</t>
  </si>
  <si>
    <t>Trạm Y tế xã Quang Thuận</t>
  </si>
  <si>
    <t>Trạm Y tế xã Tú Trĩ</t>
  </si>
  <si>
    <t>Trạm Y tế xã Dương Phong</t>
  </si>
  <si>
    <t>Trạm Y tế xã Trung Hòa</t>
  </si>
  <si>
    <t>Trạm Y tế xã Đức Vân</t>
  </si>
  <si>
    <t>Trạm Y tế xã Thuần Mang</t>
  </si>
  <si>
    <t>Trạm Y tế xã Khang Ninh</t>
  </si>
  <si>
    <t>Trạm Y tế xã Hoàng Trĩ</t>
  </si>
  <si>
    <t>Trạm Y tế xã Cao Trĩ</t>
  </si>
  <si>
    <t>Trạm Y tế xã Đại Sảo</t>
  </si>
  <si>
    <t>Trạm Y tế xã Quảng Chu</t>
  </si>
  <si>
    <t>Trạm Y tế xã Thanh Mai</t>
  </si>
  <si>
    <t>Trạm Y tế xã Hữu Thác</t>
  </si>
  <si>
    <t>Trạm Y tế xã Hảo Nghĩa</t>
  </si>
  <si>
    <t>Trạm Y tế xã Lạng San</t>
  </si>
  <si>
    <t>Trạm Y tế xã Văn Học</t>
  </si>
  <si>
    <t>Trạm Y tế xã Cường Lợi</t>
  </si>
  <si>
    <t>Xã Cẩm Giàng- Bạch Thông</t>
  </si>
  <si>
    <t>Xã Hà Hiệu-  Ba Bể</t>
  </si>
  <si>
    <t>Xã Dương Phong - Bạch Thông</t>
  </si>
  <si>
    <t>Xã Vân Tùng- Ngân Sơn</t>
  </si>
  <si>
    <t>Xã Cư Lễ -Na Rì</t>
  </si>
  <si>
    <t>Xã Nông Hạ - Chợ Mới</t>
  </si>
  <si>
    <t>Xã Mỹ Thanh- Bạch Thông</t>
  </si>
  <si>
    <t>Xã Nam Cường -Chợ Đồn</t>
  </si>
  <si>
    <t>Xã Mỹ Phương- Ba Bể</t>
  </si>
  <si>
    <t>Xã Lãng Ngâm (Hiệp Lực)-Ngân Sơn</t>
  </si>
  <si>
    <t xml:space="preserve">Xã Khang Ninh-Ba Bể </t>
  </si>
  <si>
    <t>Xã Như Cố -  Chợ Mới</t>
  </si>
  <si>
    <t>Xã Nguyên Phúc-Bạch Thông</t>
  </si>
  <si>
    <t>Xã Yên Đĩnh - Chợ Mới</t>
  </si>
  <si>
    <t xml:space="preserve">Xã Bộc Bố- Pắc Nặm </t>
  </si>
  <si>
    <t xml:space="preserve">Xã Thượng Quan -Ngân Sơn </t>
  </si>
  <si>
    <t>DLI 1.2: Các xã dự kiến đạt "Vệ sinh toàn xã" năm 2020</t>
  </si>
  <si>
    <t>Xã Bành Trạch- Ba Bể</t>
  </si>
  <si>
    <t>Xã Bằng Vân- Ngân Sơn</t>
  </si>
  <si>
    <t>Xã Côn Minh- Na Rì</t>
  </si>
  <si>
    <t>Xã Quang Phong - Na Rì</t>
  </si>
  <si>
    <t>Xã Phương Viên- Chợ Đồn</t>
  </si>
  <si>
    <t>Xã Thanh Vận- Chợ Mới</t>
  </si>
  <si>
    <t>Xã Phúc Lộc - Ba Bể</t>
  </si>
  <si>
    <t xml:space="preserve">Xã Cao Sơn  -  Bạch Thông </t>
  </si>
  <si>
    <t xml:space="preserve">Xã Tân Tú - Bạch Thông </t>
  </si>
  <si>
    <t>Xã Địa Linh-Ba Bể</t>
  </si>
  <si>
    <t xml:space="preserve">Xã Kim Lư -Na Rì </t>
  </si>
  <si>
    <t>Xã Bằng Phúc - Chợ Đồn</t>
  </si>
  <si>
    <t xml:space="preserve">Xã Quang Thuận - Bạch Thông  </t>
  </si>
  <si>
    <t>Quân Hà- Bạch Thông</t>
  </si>
  <si>
    <t>Chu Hương - Ba Bể</t>
  </si>
  <si>
    <t xml:space="preserve">Giáo Hiệu-Pác Nặm </t>
  </si>
  <si>
    <t>Trạm Y tế xã Phúc Lộc</t>
  </si>
  <si>
    <t>Xã Hữu Thác (Trần Phú) - Na Rì</t>
  </si>
  <si>
    <t>Xã Nông Thịnh (Thanh Thịnh) - Chợ Mới</t>
  </si>
  <si>
    <t>Dự án cấp nước sinh hoạt xã Lương Bằng, huyện Chợ Đồn</t>
  </si>
  <si>
    <t>Xây mới</t>
  </si>
  <si>
    <t>Đã</t>
  </si>
  <si>
    <t>Tốt</t>
  </si>
  <si>
    <t>Sẵn có</t>
  </si>
  <si>
    <t>Đủ cung cấp</t>
  </si>
  <si>
    <t>Nà Tằng; Bản Quằng; Nà Lếch; Bản Đó; Nà Mương; Búc Duộng;Nà Bưa; Bản Diếu;</t>
  </si>
  <si>
    <t>Có</t>
  </si>
  <si>
    <t>2017-2018</t>
  </si>
  <si>
    <t>Số 392/QĐ-UBND, ngày 12/3/2020</t>
  </si>
  <si>
    <t>lũ</t>
  </si>
  <si>
    <t>Sửa chữa</t>
  </si>
  <si>
    <t>Dự án cấp nước sinh hoạt xã Nông Hạ, huyện Chợ Mới</t>
  </si>
  <si>
    <t xml:space="preserve"> sẵn có</t>
  </si>
  <si>
    <t xml:space="preserve">Khe Thỉ 1; Khe Thỉ II; Cao Thanh; Khe Thuổng; Nà Quang; Sáu Hai. Khe Thỉ 1; Nà Quang </t>
  </si>
  <si>
    <t>Số 442/QĐ-UBND, ngày 31/3/2016/ Số 2611/QĐ-UBND, ngày 26/12/2019</t>
  </si>
  <si>
    <t>Dự án Cấp nước sinh hoạt xã Thuần Mang, huyện Ngân Sơn</t>
  </si>
  <si>
    <t xml:space="preserve">  Bản Giang, Nà Mu, Khuổi Nghiều, Nà Chúa, Khu chợ, Bản Nìm, Nà Dầy, Thôm Tả, Thôm Án, Khuổi Lầy, Khuổi Tục, Khuổi Chắp</t>
  </si>
  <si>
    <t xml:space="preserve">  Số 1763/QĐ-UBND, ngày 31/10/2016; Số 564/QĐ-UBND, ngày 01/4/2020</t>
  </si>
  <si>
    <t>Lũ quét</t>
  </si>
  <si>
    <t>Dự án cấp nước sinh hoạt xã Ngọc Phái, huyện Chợ Đồn</t>
  </si>
  <si>
    <t xml:space="preserve">Nà Tùm, Cốc Thử, Phiêng Liềng 1, Phiêng Liềng 2, Bản Ỏm, Bản Cuôn 1,Bản Cuôn 2, Bản Diếu, </t>
  </si>
  <si>
    <t xml:space="preserve"> Số 1760/QĐ-UBND, ngày 31/10/2016;  Số 1265/QĐ-UBND, ngày 10/7/2020</t>
  </si>
  <si>
    <t>Lũ</t>
  </si>
  <si>
    <t>Dự án cấp nước sinh hoạt xã Yên Hân, huyện Chợ Mới</t>
  </si>
  <si>
    <t>Bản Mộc, Chà Lấu, Nà Ráo, Chợ Tinh 1, Chợ Tinh 2, Nà Sao, Nà Đon</t>
  </si>
  <si>
    <t>Số 1755/QĐ-UBND, ngày 31/10/2016; Số 793/QĐ-UBND, ngày 06/5/2020</t>
  </si>
  <si>
    <t>Dự án cấp nước sinh hoạt xã Phúc lộc, huyện Ba Bể</t>
  </si>
  <si>
    <t>Nà Hỏi, Thiêng Điểm, Nà Đuổn, Bản Luộc, Nà Khao, Khuổi Luội, Nà Ma, Khuổi Trà</t>
  </si>
  <si>
    <t xml:space="preserve"> Số 2000/QĐ-UBND, ngày 23/10/2019</t>
  </si>
  <si>
    <t>Dự án cấp nước sinh hoạt xã Đồng Phúc, huyện Ba Bể</t>
  </si>
  <si>
    <t>Lủng Ca, Nà Đứa, Cốc Phẩy, Nà Phạ, Tẩn Lượt, Nà Bjóc, Nà  Cà, Nà Khâu, Cốc Coọng, Nà Thẩu, Tẩn Lùng, Bản Chán, Lủng Mình, Khưa Quang</t>
  </si>
  <si>
    <t>Số 1761/QĐ-UBND, ngày 31/10/2016;  Số 111/QĐ-UBND, ngày 21/1/2020</t>
  </si>
  <si>
    <t>Dự án cấp nước sinh hoạt xã Mỹ Phương, huyện Ba Bể</t>
  </si>
  <si>
    <t>Cốc Sâu, Phiêng Phường, Nà Ngò, Thạch Ngõa 1, Thạch Ngõa 2, Vằng Kheo, Khuổi Lùng, Khuổi Siến, Nà Lầu, Nà phiêng, Pùng Chằm, Biooc Ve, Khuổi Khún, Nà Cà, Cốc Muồi</t>
  </si>
  <si>
    <t xml:space="preserve"> Số 357/QĐ-UBND, ngày 06/3/2020</t>
  </si>
  <si>
    <t>Dự án cấp nước sinh hoạt xã Vi Hương, huyện Bạch Thông</t>
  </si>
  <si>
    <t>Cốc Thốc, Thủy Điện, Nà Chá, Nà Sang</t>
  </si>
  <si>
    <t xml:space="preserve"> Số 1757/QĐ-UBND, ngày 31/10/2016;  Số 107/QĐ-STC, ngày 24/6/2020</t>
  </si>
  <si>
    <t>Dự án cấp nước sinh hoạt xã Lục Bình, huyện Bạch Thông</t>
  </si>
  <si>
    <t xml:space="preserve">Bản Piềng, Lủng Chang, Pác Chang, Bắc Lanh Chang, Nam Lanh Chang, Nà Nghịu, Cao Lộc, Nà Chuông, </t>
  </si>
  <si>
    <t xml:space="preserve"> Số 1403/QĐ-UBND, ngày 05/8/2020</t>
  </si>
  <si>
    <t>Dự án cấp nước sinh hoạt xã Kim Lư huyện Na Rì</t>
  </si>
  <si>
    <t>Nà Đon, Pò khiển, Bản Đâng, Hát Luông, Lũng Cào, Lũng Tao, Nà Pài, Bản Cháng</t>
  </si>
  <si>
    <t xml:space="preserve"> Số 1999/QĐ-UBND, ngày 23/10/2029</t>
  </si>
  <si>
    <t>Dự án cấp nước sinh hoạt xã Cường Lợi, huyện Na Rì</t>
  </si>
  <si>
    <t>Nà Nưa, Nà Đeng, Pò Nim, Nà Chẻ và Nà Sla, Nà Khưa, Nậm Dắm;</t>
  </si>
  <si>
    <t>có</t>
  </si>
  <si>
    <t>2018-2019</t>
  </si>
  <si>
    <t xml:space="preserve"> Số 1762/QĐ-UBND, ngày 31/10/2016;  Số 1496/QĐ-UBND, ngày 19/8/2020</t>
  </si>
  <si>
    <t>Dự án cấp nước sinh hoạt xã Văn Minh huyện Na Rì</t>
  </si>
  <si>
    <t xml:space="preserve"> Nà Deng, Nà Mực, Nà Ngòa, Pác Ban, Tổng Kạng, Nà Dụ</t>
  </si>
  <si>
    <t xml:space="preserve"> Số 44/QĐ-UBND, ngày 10/01/2018; số 354/QĐ-UBND ngày 18/12/2020</t>
  </si>
  <si>
    <t>Dự án cấp nước sinh hoạt xã Đông Viên, huyện Chợ Đồn</t>
  </si>
  <si>
    <t xml:space="preserve">Cốc Lùng, Khau Chủ, Làng Sen, Nà Cọ, Bản Cáu, Nà Chang,  Pản Pẻn, Cốc Héc, Nà Kham, </t>
  </si>
  <si>
    <t xml:space="preserve"> Số 2319QĐ-UBND, ngày 21/12/2020</t>
  </si>
  <si>
    <t>Dự án cấp nước sinh hoạt xã Cao Kỳ, huyện Chợ Mới</t>
  </si>
  <si>
    <t>Nà Cà 1, Nà Cà 2, Nà Nguộc</t>
  </si>
  <si>
    <t xml:space="preserve"> Số 45/QĐ-UBND, ngày 10/01/2018</t>
  </si>
  <si>
    <t>Dự án cấp nước sinh hoạt xã Thượng Giáo, huyện Ba Bể</t>
  </si>
  <si>
    <t>Nà Săm, Nà Hán, Mỏ Đá, Nà Tạ</t>
  </si>
  <si>
    <t xml:space="preserve"> Số 2178/QĐ-UBND, ngày 21/12/2017; số 2215/QĐ-UBND ngày 04/12/2020</t>
  </si>
  <si>
    <t>Dự án cấp nước sinh hoạt xã Vũ Muộn, huyện Bạch Thông</t>
  </si>
  <si>
    <t>Đon Quản, Tân Lập, Nà Kén, Tốc Lù, Nà Khoang, Lủng Xiên, Khuổi Khoang</t>
  </si>
  <si>
    <t xml:space="preserve"> Số 2177/QĐ-UBND, ngày 21/12/2017; số 341/QĐ-UBND ngày 07/12/2020</t>
  </si>
  <si>
    <t>Dự án cấp nước sinh hoạt xã Mỹ Thanh, huyện Bạch Thông</t>
  </si>
  <si>
    <t>Phiêng Kham, Bản Luông 1, Bản Luông 2, Bản Châng, Nà Cà,</t>
  </si>
  <si>
    <t xml:space="preserve"> Số 1822/QĐ-UBND, ngày 31/10/2018</t>
  </si>
  <si>
    <t>Dự án cấp nước sinh hoạt xã Hoàng Trĩ, huyện Ba Bể</t>
  </si>
  <si>
    <t>Nà Slải, Nà Lườn, Nà Cọ, Bản Duống, Bản Diếu, Coọc Mu</t>
  </si>
  <si>
    <t xml:space="preserve"> Số 1824/QĐ-UBND, ngày 31/10/2018;  số 2320/QĐ-UBND ngày 21/12/2020</t>
  </si>
  <si>
    <t>Dự án cấp nước sinh hoạt xã Phương Viên, huyện Chợ Đồn</t>
  </si>
  <si>
    <t xml:space="preserve">Nà Khe, Khuổi Quân, Khuổi Đải, Khuổi Lìa, Tổng Chiêu, Nà Làng </t>
  </si>
  <si>
    <t xml:space="preserve"> Số 2310/QĐ-UBND, ngày 18/12/2020</t>
  </si>
  <si>
    <t>Dự án cấp nước sinh hoạt xã Lam Sơn huyện Na Rì</t>
  </si>
  <si>
    <t>Thanh Sơn, Xưởng Cưa, Khuổi Luông, Pan Khe</t>
  </si>
  <si>
    <t xml:space="preserve"> Số 2308/QĐ-UBND, ngày 18/12/2020</t>
  </si>
  <si>
    <t>Dự án cấp nước sinh hoạt xã Dương Phong, huyện Bạch Thông</t>
  </si>
  <si>
    <t>Nà Chèn, Tổng Mú, Khuổi Cò</t>
  </si>
  <si>
    <t xml:space="preserve"> Số 2263/QĐ-UBND, ngày 10/12/2020</t>
  </si>
  <si>
    <t>Dự án cấp nước sinh hoạt xã Tân Sơn huyện Chợ Mới</t>
  </si>
  <si>
    <t>Khuổi Đeeng 1, Khuổi Đeeng 2, Nặm Dất, Bản Lù</t>
  </si>
  <si>
    <t xml:space="preserve"> Số 1817/QĐ-UBND, ngày 31/10/2018</t>
  </si>
  <si>
    <t>Dự án cấp nước sinh hoạt xã Quảng Chu, huyện Chợ Mới</t>
  </si>
  <si>
    <t>Làng Điền, Làng Chẽ</t>
  </si>
  <si>
    <t xml:space="preserve"> Số 43/QĐ-UBND, ngày 10/01/2018</t>
  </si>
  <si>
    <t>Dự án cấp nước sinh hoạt xã Đôn Phong, huyện Bạch Thông</t>
  </si>
  <si>
    <t>Nà Pán, Bản Chiêng, Nà Lồm, Nặm Tốc, Vằng Bó, Nà Đán, Bản Đán, Lũng Lầu</t>
  </si>
  <si>
    <t xml:space="preserve"> Số 1814/QĐ-UBND, ngày 31/10/2018</t>
  </si>
  <si>
    <t>Dự án cấp nước sinh hoạt xã Bằng Phúc, huyện Chợ Đồn</t>
  </si>
  <si>
    <t>Bản Mới, Bản Quân, Nà Bay</t>
  </si>
  <si>
    <t xml:space="preserve"> Số 2201/QĐ-UBND, ngày 02/12/2020</t>
  </si>
  <si>
    <t>Dự án cấp nước sinh hoạt xã Vũ Loan, huyện Na Rì</t>
  </si>
  <si>
    <t>Khuổi Tàu; Thôn Kẹn, Khuổi Vạc; Thôn Khen, Khuổi Mụ, Chang Ngòa, Thôm Khỉnh, Bản Đâng, Pò Duốc, Nà Quáng</t>
  </si>
  <si>
    <t xml:space="preserve"> Số 1802/QĐ-UBND, ngày 21/12/2017</t>
  </si>
  <si>
    <t xml:space="preserve">Dự án Cấp nước sinh hoạt xã Thanh Thịnh, huyện Chợ Mới, </t>
  </si>
  <si>
    <t xml:space="preserve">Bản Chàng, Cốc Po, Khuổi Tai, Nà Giảo </t>
  </si>
  <si>
    <t>Sẵn sàng</t>
  </si>
  <si>
    <t>2306/QĐ-UBND ngày 18/12/2020</t>
  </si>
  <si>
    <t xml:space="preserve">Đã </t>
  </si>
  <si>
    <t>Hạn hán, lũ lụt</t>
  </si>
  <si>
    <t>Dự án cấp nước sinh hoạt xã Đại Sảo, huyện Chợ Đồn</t>
  </si>
  <si>
    <t>Nà Luông, Nà Lại, Pác Leo, Nà Khảo, Bản Sáo, Nà Ngà, Bản Loon, Nà Luông</t>
  </si>
  <si>
    <t xml:space="preserve"> Số 2307/QĐ-UBND, ngày 18/12/2020</t>
  </si>
  <si>
    <t>Dự án cấp nước sinh hoạt xã Cốc Đán, huyện Ngân Sơn</t>
  </si>
  <si>
    <t>Bản Pàu, Nà Cọt, Cốc Moỏng, Khuổi Diễn, Nà Vài</t>
  </si>
  <si>
    <t xml:space="preserve">Số 2271 /QĐ-UBND,
ngày 11/12/2020
</t>
  </si>
  <si>
    <t>Dự án cấp nước sinh hoạt xã Quân Hà, huyện Bạch Thông</t>
  </si>
  <si>
    <t>Khau Mạ, Cốc Xả, Lủng kén, Nà Cà, Nà Phả, Nà Ngảng, Đoàn Kết</t>
  </si>
  <si>
    <t>Số 2267/QĐ-UBND ngày 10/12/2020</t>
  </si>
  <si>
    <t>Dự án cấp nước sinh hoạt xã Yên Phong, huyện Chợ Đồn</t>
  </si>
  <si>
    <t>Bản Quăng, Đon Mạ, Bản Noỏng, Khau Toọc, Bản Tắm, Bản Lanh, Bản Lẹng, Pác Đá</t>
  </si>
  <si>
    <t>Số 2386/QĐ-UBND ngày 28/12/2020</t>
  </si>
  <si>
    <t>Công trình kiểm đếm ngoài</t>
  </si>
  <si>
    <t>Dự án Cấp nước sinh hoạt và VSMTNT cụm xã Hà Hiệu và Bành Trạch huyện Ba Bể</t>
  </si>
  <si>
    <t>Khuổi Liên, Cốc Lùng, Chợ Giải, Vằng Kè, Nà Mèo, Nà Dài,Bản Mới, Bản Mới, Nà Vài, Thôm Lạnh, Lủng Cháng, Nà Hin, Nà Mèo….</t>
  </si>
  <si>
    <t>2016-2017</t>
  </si>
  <si>
    <t>Số 1327/QĐ-UBND, ngày 03/9/2014</t>
  </si>
  <si>
    <t>Xây mới+SC</t>
  </si>
  <si>
    <t>Cấp nước sinh hoạt thôn Thôm Bó</t>
  </si>
  <si>
    <t>thôn Thôm Bó</t>
  </si>
  <si>
    <t>Nước mặt, ngầm</t>
  </si>
  <si>
    <t>Đã có đánh giá nhu cầu dùng nước chưa?</t>
  </si>
  <si>
    <t>Đã xác định và đánh giá nguồn nước chưa ?</t>
  </si>
  <si>
    <t>Dự án Cấp nước sinh hoạt xã Lương Bằng, huyện Chợ Đồn</t>
  </si>
  <si>
    <t>+</t>
  </si>
  <si>
    <t>Dự án Cấp nước sinh hoạt xã Nông Hạ, huyện Chợ Mới</t>
  </si>
  <si>
    <t>Dự án Cấp nước sinh hoạt xã Phúc lộc, huyện Ba Bể</t>
  </si>
  <si>
    <t>Dự án Cấp nước sinh hoạt xã Ngọc Phái, huyện Chợ Đồn</t>
  </si>
  <si>
    <t xml:space="preserve">Dự án Cấp nước sinh hoạt xã Yên Hân, huyện Chợ Mới </t>
  </si>
  <si>
    <t>Dự án Cấp nước sinh hoạt xã Đồng Phúc, huyện Chợ Đồn</t>
  </si>
  <si>
    <t>Dự án Cấp nước sinh hoạt xã Mỹ Phương, huyện Ba Bể</t>
  </si>
  <si>
    <t>Dự án Cấp nước sinh hoạt xã Vi Hương, huyện Bạch Thông</t>
  </si>
  <si>
    <t xml:space="preserve">Dự án Cấp nước sinh hoạt xã Lục Bình, huyện Bạch Thông </t>
  </si>
  <si>
    <t>Dự án Cấp nước sinh hoạt xã Kim Lư, huyện Na Rì</t>
  </si>
  <si>
    <t>Dự án Cấp nước sinh hoạt xã Cường Lợi, huyện Na Rì</t>
  </si>
  <si>
    <t>Dự án Cấp nước sinh hoạt xã Văn Minh, huyện Na Rì</t>
  </si>
  <si>
    <t>Dự án Cấp nước sinh hoạt xã Đông Viên, huyện Chợ Đồn</t>
  </si>
  <si>
    <t>Dự án Cấp nước sinh hoạt xã Quảng Chu, huyện Chợ Mới</t>
  </si>
  <si>
    <t>Dự án Cấp nước sinh hoạt xã Cao Kỳ, huyện Chợ Mới</t>
  </si>
  <si>
    <t xml:space="preserve">Dự án Cấp nước sinh hoạt xã Thượng Giáo, huyện Ba Bể </t>
  </si>
  <si>
    <t>Dự án Cấp nước sinh hoạt xã Vũ Muộn, huyện Bạch Thông</t>
  </si>
  <si>
    <t>Dự án Cấp nước sinh hoạt xã Mỹ Thanh, huyện Bạch Thông</t>
  </si>
  <si>
    <t>Dự án Cấp nước sinh hoạt xã Hoàng Trĩ huyện Ba Bể</t>
  </si>
  <si>
    <t>Dự án Cấp nước sinh hoạt xã Phương Viên, huyện Chợ Đồn</t>
  </si>
  <si>
    <t>Dự án Cấp nước sinh hoạt xã Đôn Phong, huyện Bạch Thông</t>
  </si>
  <si>
    <t>Dự án Cấp nước sinh hoạt xã Lam Sơn huyện Na Rì</t>
  </si>
  <si>
    <t>Dự án Cấp nước sinh hoạt xã Dương Phong, huyện Bạch Thông</t>
  </si>
  <si>
    <t>Dự án Cấp nước sinh hoạt xã Vũ Loan, huyện Na Rì</t>
  </si>
  <si>
    <t>Dự án Cấp nước sinh hoạt xã Bằng Phúc, huyện Chợ Đồn</t>
  </si>
  <si>
    <t>Dự án Cấp nước sinh hoạt xã Tân Sơn huyện Chợ Mới</t>
  </si>
  <si>
    <t>Dự án Cấp nước sinh hoạt xã Thanh Thịnh, huyện Chợ Mới</t>
  </si>
  <si>
    <t>Dự án cấp nước xã Quân Hà, huyện Bạch Thông</t>
  </si>
  <si>
    <t>++++' : Xây dựng công trình</t>
  </si>
  <si>
    <r>
      <rPr>
        <sz val="12"/>
        <color indexed="10"/>
        <rFont val="Times New Roman"/>
        <family val="1"/>
      </rPr>
      <t>------</t>
    </r>
    <r>
      <rPr>
        <sz val="12"/>
        <rFont val="Times New Roman"/>
        <family val="1"/>
      </rPr>
      <t>' : Duy trì và phát triển đấu nối</t>
    </r>
  </si>
  <si>
    <t>Vốn dân góp</t>
  </si>
  <si>
    <t xml:space="preserve">Vốn đối ứng </t>
  </si>
  <si>
    <t>(Kèm theo Kế hoạch số           /KH-UBND ngày        tháng 12 năm 2021 của UBND tỉnh Bắc Kạn )</t>
  </si>
  <si>
    <r>
      <t>1.1. Diện tích (km</t>
    </r>
    <r>
      <rPr>
        <vertAlign val="superscript"/>
        <sz val="13"/>
        <rFont val="Times New Roman"/>
        <family val="1"/>
      </rPr>
      <t>2</t>
    </r>
    <r>
      <rPr>
        <sz val="13"/>
        <rFont val="Times New Roman"/>
        <family val="1"/>
      </rPr>
      <t>)</t>
    </r>
  </si>
  <si>
    <t>Tỷ lệ HGĐ có điểm rửa tay, có xà phòng và sản phẩm thay thế</t>
  </si>
  <si>
    <t>BIỂU 3: HIỆN TRẠNG SỬ DỤNG NƯỚC ƯỚC ĐẾN HẾT THÁNG 12/2021</t>
  </si>
  <si>
    <t>Tiểu Hợp phần 1: Hỗ trợ xây dựng nhà tiêu HGĐ</t>
  </si>
  <si>
    <t>(Kèm theo Kế hoạch số           /KH-SNN ngày       /12/ 2021 của Sở Nông nghiệp và PTNT tỉnh Bắc Kạn )</t>
  </si>
  <si>
    <t>(Kèm theo Kế hoạch số   92 /KH-SNN ngày  30 /12/ 2021 của Sở Nông nghiệp và PTNT tỉnh Bắc Kạn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</si>
</sst>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_);_(* \(#,##0\);_(* &quot;-&quot;??_);_(@_)"/>
    <numFmt numFmtId="174" formatCode="###\ ###\ ###"/>
    <numFmt numFmtId="175" formatCode="_-* #,##0\ _₫_-;\-* #,##0\ _₫_-;_-* &quot;-&quot;??\ _₫_-;_-@_-"/>
    <numFmt numFmtId="176" formatCode="_(* #,##0.000_);_(* \(#,##0.000\);_(* &quot;-&quot;??_);_(@_)"/>
    <numFmt numFmtId="177" formatCode="_(* #,##0.0_);_(* \(#,##0.0\);_(* &quot;-&quot;??_);_(@_)"/>
    <numFmt numFmtId="178" formatCode="0.0"/>
    <numFmt numFmtId="179" formatCode="0.0%"/>
    <numFmt numFmtId="180" formatCode="_(* #,##0.0000_);_(* \(#,##0.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_-* #,##0.0\ _₫_-;\-* #,##0.0\ _₫_-;_-* &quot;-&quot;?\ _₫_-;_-@_-"/>
    <numFmt numFmtId="189" formatCode="#,##0.00_ ;\-#,##0.00\ "/>
    <numFmt numFmtId="190" formatCode="_(* #,##0.000_);_(* \(#,##0.000\);_(* &quot;-&quot;???_);_(@_)"/>
    <numFmt numFmtId="191" formatCode="_(* #,##0.0_);_(* \(#,##0.0\);_(* &quot;-&quot;?_);_(@_)"/>
    <numFmt numFmtId="192" formatCode="_(* #,##0_);_(* \(#,##0\);_(* &quot;-&quot;?_);_(@_)"/>
    <numFmt numFmtId="193" formatCode="_(* #,##0.0_);_(* \(#,##0.0\);_(* &quot;-&quot;_);_(@_)"/>
    <numFmt numFmtId="194" formatCode="_(* #,##0.00_);_(* \(#,##0.00\);_(* &quot;-&quot;_);_(@_)"/>
    <numFmt numFmtId="195" formatCode="_-* #,##0.0\ _₫_-;\-* #,##0.0\ _₫_-;_-* &quot;-&quot;??\ _₫_-;_-@_-"/>
    <numFmt numFmtId="196" formatCode="_-* #.##\ _₫_-;\-* #.##\ _₫_-;_-* &quot;-&quot;??\ _₫_-;_-@_-"/>
    <numFmt numFmtId="197" formatCode="0.000"/>
    <numFmt numFmtId="198" formatCode="_-* #,##0\ _₫_-;\-* #,##0\ _₫_-;_-* &quot;-&quot;?\ _₫_-;_-@_-"/>
    <numFmt numFmtId="199" formatCode="_-* #,##0.000\ _₫_-;\-* #,##0.000\ _₫_-;_-* &quot;-&quot;???\ _₫_-;_-@_-"/>
    <numFmt numFmtId="200" formatCode="#,##0.0_);\(#,##0.0\)"/>
    <numFmt numFmtId="201" formatCode="0.0000"/>
  </numFmts>
  <fonts count="160">
    <font>
      <sz val="12"/>
      <name val=".VnTime"/>
      <family val="0"/>
    </font>
    <font>
      <sz val="13"/>
      <name val=".VnTime"/>
      <family val="2"/>
    </font>
    <font>
      <b/>
      <sz val="13"/>
      <name val=".VnTime"/>
      <family val="2"/>
    </font>
    <font>
      <u val="single"/>
      <sz val="12"/>
      <color indexed="12"/>
      <name val=".VnTime"/>
      <family val="2"/>
    </font>
    <font>
      <u val="single"/>
      <sz val="12"/>
      <color indexed="36"/>
      <name val=".VnTime"/>
      <family val="2"/>
    </font>
    <font>
      <sz val="13"/>
      <name val=".VnTimeH"/>
      <family val="2"/>
    </font>
    <font>
      <sz val="8"/>
      <name val=".VnTime"/>
      <family val="2"/>
    </font>
    <font>
      <sz val="10"/>
      <name val="Arial"/>
      <family val="2"/>
    </font>
    <font>
      <sz val="11"/>
      <color indexed="8"/>
      <name val="Calibri"/>
      <family val="2"/>
    </font>
    <font>
      <b/>
      <sz val="8"/>
      <name val="Times New Roman"/>
      <family val="1"/>
    </font>
    <font>
      <sz val="8"/>
      <name val="Times New Roman"/>
      <family val="1"/>
    </font>
    <font>
      <i/>
      <sz val="8"/>
      <name val="Times New Roman"/>
      <family val="1"/>
    </font>
    <font>
      <sz val="8"/>
      <color indexed="9"/>
      <name val="Times New Roman"/>
      <family val="1"/>
    </font>
    <font>
      <sz val="8"/>
      <color indexed="8"/>
      <name val="Calibri"/>
      <family val="2"/>
    </font>
    <font>
      <b/>
      <i/>
      <sz val="8"/>
      <name val="Times New Roman"/>
      <family val="1"/>
    </font>
    <font>
      <sz val="7"/>
      <name val="Times New Roman"/>
      <family val="1"/>
    </font>
    <font>
      <sz val="7"/>
      <color indexed="9"/>
      <name val="Times New Roman"/>
      <family val="1"/>
    </font>
    <font>
      <b/>
      <sz val="10"/>
      <name val="Times New Roman"/>
      <family val="1"/>
    </font>
    <font>
      <i/>
      <sz val="12"/>
      <name val="Times New Roman"/>
      <family val="1"/>
    </font>
    <font>
      <sz val="12"/>
      <name val="Times New Roman"/>
      <family val="1"/>
    </font>
    <font>
      <sz val="14"/>
      <name val="Times New Roman"/>
      <family val="1"/>
    </font>
    <font>
      <b/>
      <sz val="12"/>
      <name val="Times New Roman"/>
      <family val="1"/>
    </font>
    <font>
      <sz val="11"/>
      <name val="Times New Roman"/>
      <family val="1"/>
    </font>
    <font>
      <b/>
      <sz val="11"/>
      <name val="Times New Roman"/>
      <family val="1"/>
    </font>
    <font>
      <sz val="10"/>
      <name val="Times New Roman"/>
      <family val="1"/>
    </font>
    <font>
      <i/>
      <sz val="14"/>
      <name val="Times New Roman"/>
      <family val="1"/>
    </font>
    <font>
      <b/>
      <i/>
      <sz val="14"/>
      <name val="Times New Roman"/>
      <family val="1"/>
    </font>
    <font>
      <b/>
      <i/>
      <sz val="12"/>
      <name val="Times New Roman"/>
      <family val="1"/>
    </font>
    <font>
      <sz val="8"/>
      <color indexed="8"/>
      <name val="Times New Roman"/>
      <family val="1"/>
    </font>
    <font>
      <sz val="12"/>
      <name val="Arial"/>
      <family val="2"/>
    </font>
    <font>
      <i/>
      <sz val="8"/>
      <color indexed="8"/>
      <name val="Times New Roman"/>
      <family val="1"/>
    </font>
    <font>
      <i/>
      <sz val="9"/>
      <color indexed="8"/>
      <name val="Times New Roman"/>
      <family val="1"/>
    </font>
    <font>
      <b/>
      <i/>
      <sz val="11"/>
      <name val="Times New Roman"/>
      <family val="1"/>
    </font>
    <font>
      <i/>
      <sz val="11"/>
      <name val="Times New Roman"/>
      <family val="1"/>
    </font>
    <font>
      <sz val="11"/>
      <color indexed="8"/>
      <name val="Times New Roman"/>
      <family val="1"/>
    </font>
    <font>
      <sz val="11"/>
      <name val=".VnTime"/>
      <family val="2"/>
    </font>
    <font>
      <b/>
      <sz val="14"/>
      <name val="Times New Roman"/>
      <family val="1"/>
    </font>
    <font>
      <sz val="12"/>
      <color indexed="10"/>
      <name val="Times New Roman"/>
      <family val="1"/>
    </font>
    <font>
      <sz val="10"/>
      <color indexed="10"/>
      <name val=".VnTime"/>
      <family val="2"/>
    </font>
    <font>
      <sz val="12"/>
      <color indexed="12"/>
      <name val="Times New Roman"/>
      <family val="1"/>
    </font>
    <font>
      <sz val="12"/>
      <name val=".VnArial Narrow"/>
      <family val="2"/>
    </font>
    <font>
      <sz val="8"/>
      <name val="Tahoma"/>
      <family val="2"/>
    </font>
    <font>
      <b/>
      <sz val="8"/>
      <name val="Tahoma"/>
      <family val="2"/>
    </font>
    <font>
      <b/>
      <sz val="12"/>
      <name val=".VnTime"/>
      <family val="2"/>
    </font>
    <font>
      <sz val="14"/>
      <color indexed="8"/>
      <name val="Times New Roman"/>
      <family val="2"/>
    </font>
    <font>
      <sz val="8"/>
      <name val="Arial"/>
      <family val="2"/>
    </font>
    <font>
      <b/>
      <sz val="13"/>
      <color indexed="8"/>
      <name val="Times New Roman"/>
      <family val="1"/>
    </font>
    <font>
      <sz val="10"/>
      <color indexed="8"/>
      <name val="Arial"/>
      <family val="2"/>
    </font>
    <font>
      <i/>
      <sz val="12"/>
      <color indexed="8"/>
      <name val="Times New Roman"/>
      <family val="1"/>
    </font>
    <font>
      <sz val="10"/>
      <color indexed="10"/>
      <name val="Arial"/>
      <family val="2"/>
    </font>
    <font>
      <b/>
      <sz val="8"/>
      <color indexed="8"/>
      <name val="Times New Roman"/>
      <family val="1"/>
    </font>
    <font>
      <b/>
      <sz val="8"/>
      <color indexed="10"/>
      <name val="Times New Roman"/>
      <family val="1"/>
    </font>
    <font>
      <sz val="8"/>
      <color indexed="10"/>
      <name val="Times New Roman"/>
      <family val="1"/>
    </font>
    <font>
      <sz val="8"/>
      <color indexed="8"/>
      <name val="Arial"/>
      <family val="2"/>
    </font>
    <font>
      <b/>
      <i/>
      <sz val="8"/>
      <color indexed="8"/>
      <name val="Times New Roman"/>
      <family val="1"/>
    </font>
    <font>
      <b/>
      <i/>
      <sz val="8"/>
      <color indexed="10"/>
      <name val="Times New Roman"/>
      <family val="1"/>
    </font>
    <font>
      <i/>
      <sz val="8"/>
      <color indexed="10"/>
      <name val="Times New Roman"/>
      <family val="1"/>
    </font>
    <font>
      <sz val="8"/>
      <color indexed="10"/>
      <name val="Arial"/>
      <family val="2"/>
    </font>
    <font>
      <sz val="10"/>
      <color indexed="8"/>
      <name val="Times New Roman"/>
      <family val="1"/>
    </font>
    <font>
      <sz val="10"/>
      <color indexed="10"/>
      <name val="Times New Roman"/>
      <family val="1"/>
    </font>
    <font>
      <i/>
      <sz val="10"/>
      <color indexed="8"/>
      <name val="Times New Roman"/>
      <family val="1"/>
    </font>
    <font>
      <sz val="10"/>
      <color indexed="12"/>
      <name val="Times New Roman"/>
      <family val="1"/>
    </font>
    <font>
      <sz val="8"/>
      <color indexed="12"/>
      <name val="Times New Roman"/>
      <family val="1"/>
    </font>
    <font>
      <sz val="8"/>
      <color indexed="12"/>
      <name val="Arial"/>
      <family val="2"/>
    </font>
    <font>
      <sz val="10"/>
      <color indexed="12"/>
      <name val="Arial"/>
      <family val="2"/>
    </font>
    <font>
      <b/>
      <sz val="10"/>
      <name val="Arial"/>
      <family val="2"/>
    </font>
    <font>
      <i/>
      <sz val="13"/>
      <name val="3C_Times_T"/>
      <family val="0"/>
    </font>
    <font>
      <i/>
      <sz val="10"/>
      <name val="MS Sans Serif"/>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VnTime"/>
      <family val="2"/>
    </font>
    <font>
      <sz val="9"/>
      <name val="Times New Roman"/>
      <family val="1"/>
    </font>
    <font>
      <sz val="11"/>
      <color indexed="10"/>
      <name val="Times New Roman"/>
      <family val="1"/>
    </font>
    <font>
      <i/>
      <sz val="9"/>
      <name val="Times New Roman"/>
      <family val="1"/>
    </font>
    <font>
      <sz val="8"/>
      <color indexed="8"/>
      <name val=".VnTime"/>
      <family val="2"/>
    </font>
    <font>
      <i/>
      <sz val="9"/>
      <color indexed="10"/>
      <name val="Times New Roman"/>
      <family val="1"/>
    </font>
    <font>
      <sz val="9"/>
      <color indexed="12"/>
      <name val="Times New Roman"/>
      <family val="1"/>
    </font>
    <font>
      <i/>
      <sz val="8"/>
      <color indexed="12"/>
      <name val="Times New Roman"/>
      <family val="1"/>
    </font>
    <font>
      <sz val="13"/>
      <color indexed="8"/>
      <name val="Times New Roman"/>
      <family val="1"/>
    </font>
    <font>
      <b/>
      <sz val="12"/>
      <color indexed="8"/>
      <name val="Times New Roman"/>
      <family val="1"/>
    </font>
    <font>
      <b/>
      <sz val="10"/>
      <color indexed="8"/>
      <name val="Times New Roman"/>
      <family val="1"/>
    </font>
    <font>
      <sz val="12"/>
      <color indexed="8"/>
      <name val="Times New Roman"/>
      <family val="1"/>
    </font>
    <font>
      <b/>
      <sz val="9"/>
      <color indexed="8"/>
      <name val="Times New Roman"/>
      <family val="1"/>
    </font>
    <font>
      <b/>
      <i/>
      <sz val="12"/>
      <color indexed="8"/>
      <name val="Times New Roman"/>
      <family val="1"/>
    </font>
    <font>
      <sz val="6"/>
      <color indexed="8"/>
      <name val="Times New Roman"/>
      <family val="1"/>
    </font>
    <font>
      <b/>
      <sz val="18"/>
      <name val="Times New Roman"/>
      <family val="1"/>
    </font>
    <font>
      <sz val="13"/>
      <name val="Times New Roman"/>
      <family val="1"/>
    </font>
    <font>
      <i/>
      <sz val="14"/>
      <color indexed="8"/>
      <name val="Times New Roman"/>
      <family val="1"/>
    </font>
    <font>
      <b/>
      <i/>
      <sz val="12"/>
      <color indexed="10"/>
      <name val="Times New Roman"/>
      <family val="1"/>
    </font>
    <font>
      <sz val="11"/>
      <name val="Tahoma"/>
      <family val="2"/>
    </font>
    <font>
      <b/>
      <sz val="9"/>
      <name val="Times New Roman"/>
      <family val="1"/>
    </font>
    <font>
      <sz val="9"/>
      <color indexed="10"/>
      <name val="Times New Roman"/>
      <family val="1"/>
    </font>
    <font>
      <b/>
      <sz val="11"/>
      <color indexed="8"/>
      <name val="Times New Roman"/>
      <family val="1"/>
    </font>
    <font>
      <i/>
      <sz val="13"/>
      <name val="Times New Roman"/>
      <family val="1"/>
    </font>
    <font>
      <i/>
      <sz val="13"/>
      <color indexed="8"/>
      <name val="Times New Roman"/>
      <family val="1"/>
    </font>
    <font>
      <b/>
      <i/>
      <sz val="13"/>
      <color indexed="8"/>
      <name val="Times New Roman"/>
      <family val="1"/>
    </font>
    <font>
      <i/>
      <sz val="12"/>
      <name val=".VnTime"/>
      <family val="2"/>
    </font>
    <font>
      <sz val="10"/>
      <name val=".VnTime"/>
      <family val="2"/>
    </font>
    <font>
      <b/>
      <sz val="10"/>
      <color indexed="60"/>
      <name val="Times New Roman"/>
      <family val="1"/>
    </font>
    <font>
      <sz val="10"/>
      <color indexed="60"/>
      <name val="Times New Roman"/>
      <family val="1"/>
    </font>
    <font>
      <b/>
      <sz val="7"/>
      <name val="Times New Roman"/>
      <family val="1"/>
    </font>
    <font>
      <sz val="7"/>
      <color indexed="8"/>
      <name val="Times New Roman"/>
      <family val="1"/>
    </font>
    <font>
      <sz val="7"/>
      <color indexed="10"/>
      <name val="Times New Roman"/>
      <family val="1"/>
    </font>
    <font>
      <i/>
      <sz val="11"/>
      <color indexed="8"/>
      <name val="Times New Roman"/>
      <family val="1"/>
    </font>
    <font>
      <sz val="6"/>
      <color indexed="10"/>
      <name val="Times New Roman"/>
      <family val="1"/>
    </font>
    <font>
      <b/>
      <sz val="7"/>
      <color indexed="10"/>
      <name val="Times New Roman"/>
      <family val="1"/>
    </font>
    <font>
      <b/>
      <sz val="7"/>
      <color indexed="8"/>
      <name val="Times New Roman"/>
      <family val="1"/>
    </font>
    <font>
      <b/>
      <sz val="9"/>
      <color indexed="10"/>
      <name val="Times New Roman"/>
      <family val="1"/>
    </font>
    <font>
      <sz val="6.5"/>
      <name val="Times New Roman"/>
      <family val="1"/>
    </font>
    <font>
      <b/>
      <sz val="13"/>
      <name val="Times New Roman"/>
      <family val="1"/>
    </font>
    <font>
      <vertAlign val="superscript"/>
      <sz val="13"/>
      <name val="Times New Roman"/>
      <family val="1"/>
    </font>
    <font>
      <i/>
      <sz val="12"/>
      <color indexed="8"/>
      <name val="Calibri"/>
      <family val="2"/>
    </font>
    <font>
      <b/>
      <sz val="12"/>
      <color indexed="10"/>
      <name val="Times New Roman"/>
      <family val="1"/>
    </font>
    <font>
      <sz val="11"/>
      <color indexed="18"/>
      <name val="Times New Roman"/>
      <family val="1"/>
    </font>
    <font>
      <sz val="11"/>
      <color indexed="18"/>
      <name val=".VnTime"/>
      <family val="2"/>
    </font>
    <font>
      <b/>
      <sz val="10"/>
      <color indexed="18"/>
      <name val="Times New Roman"/>
      <family val="1"/>
    </font>
    <font>
      <sz val="13"/>
      <color indexed="8"/>
      <name val=".VnTime"/>
      <family val="2"/>
    </font>
    <font>
      <b/>
      <sz val="11"/>
      <color indexed="18"/>
      <name val="Times New Roman"/>
      <family val="1"/>
    </font>
    <font>
      <sz val="11"/>
      <color theme="1"/>
      <name val="Calibri"/>
      <family val="2"/>
    </font>
    <font>
      <sz val="12"/>
      <color theme="1"/>
      <name val="Times New Roman"/>
      <family val="2"/>
    </font>
    <font>
      <i/>
      <sz val="12"/>
      <color theme="1"/>
      <name val="Calibri"/>
      <family val="2"/>
    </font>
    <font>
      <sz val="10"/>
      <color rgb="FFFF0000"/>
      <name val="Times New Roman"/>
      <family val="1"/>
    </font>
    <font>
      <b/>
      <sz val="8"/>
      <color rgb="FFFF0000"/>
      <name val="Times New Roman"/>
      <family val="1"/>
    </font>
    <font>
      <sz val="8"/>
      <color rgb="FFFF0000"/>
      <name val="Times New Roman"/>
      <family val="1"/>
    </font>
    <font>
      <i/>
      <sz val="13"/>
      <color theme="1"/>
      <name val="Times New Roman"/>
      <family val="1"/>
    </font>
    <font>
      <b/>
      <sz val="12"/>
      <color theme="1"/>
      <name val="Times New Roman"/>
      <family val="1"/>
    </font>
    <font>
      <b/>
      <sz val="12"/>
      <color rgb="FFFF0000"/>
      <name val="Times New Roman"/>
      <family val="1"/>
    </font>
    <font>
      <b/>
      <i/>
      <sz val="12"/>
      <color theme="1"/>
      <name val="Times New Roman"/>
      <family val="1"/>
    </font>
    <font>
      <b/>
      <sz val="10"/>
      <color theme="1"/>
      <name val="Times New Roman"/>
      <family val="1"/>
    </font>
    <font>
      <sz val="10"/>
      <color theme="1"/>
      <name val="Times New Roman"/>
      <family val="1"/>
    </font>
    <font>
      <sz val="10"/>
      <color theme="1" tint="0.04998999834060669"/>
      <name val="Times New Roman"/>
      <family val="1"/>
    </font>
    <font>
      <sz val="11"/>
      <color rgb="FF000099"/>
      <name val="Times New Roman"/>
      <family val="1"/>
    </font>
    <font>
      <sz val="11"/>
      <color rgb="FF000099"/>
      <name val=".VnTime"/>
      <family val="2"/>
    </font>
    <font>
      <b/>
      <sz val="10"/>
      <color rgb="FF000099"/>
      <name val="Times New Roman"/>
      <family val="1"/>
    </font>
    <font>
      <sz val="8"/>
      <color theme="1"/>
      <name val="Times New Roman"/>
      <family val="1"/>
    </font>
    <font>
      <sz val="7"/>
      <color theme="1"/>
      <name val="Times New Roman"/>
      <family val="1"/>
    </font>
    <font>
      <sz val="13"/>
      <color theme="1" tint="0.04998999834060669"/>
      <name val="Times New Roman"/>
      <family val="1"/>
    </font>
    <font>
      <sz val="13"/>
      <color theme="1" tint="0.04998999834060669"/>
      <name val=".VnTime"/>
      <family val="2"/>
    </font>
    <font>
      <b/>
      <sz val="11"/>
      <color theme="1"/>
      <name val="Times New Roman"/>
      <family val="1"/>
    </font>
    <font>
      <sz val="11"/>
      <color theme="1"/>
      <name val="Times New Roman"/>
      <family val="1"/>
    </font>
    <font>
      <i/>
      <sz val="11"/>
      <color theme="1"/>
      <name val="Times New Roman"/>
      <family val="1"/>
    </font>
    <font>
      <b/>
      <sz val="11"/>
      <color rgb="FF000099"/>
      <name val="Times New Roman"/>
      <family val="1"/>
    </font>
    <font>
      <b/>
      <sz val="13"/>
      <color theme="1"/>
      <name val="Times New Roman"/>
      <family val="1"/>
    </font>
    <font>
      <b/>
      <sz val="8"/>
      <name val=".VnTime"/>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4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style="thin"/>
      <bottom style="thin"/>
    </border>
    <border>
      <left style="thin"/>
      <right style="thin"/>
      <top style="thin"/>
      <bottom style="hair"/>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color indexed="63"/>
      </right>
      <top style="thin"/>
      <bottom style="thin"/>
    </border>
    <border>
      <left>
        <color indexed="63"/>
      </left>
      <right style="thin"/>
      <top style="thin"/>
      <bottom style="thin"/>
    </border>
    <border>
      <left/>
      <right/>
      <top style="thin"/>
      <bottom style="thin"/>
    </border>
    <border>
      <left>
        <color indexed="63"/>
      </left>
      <right>
        <color indexed="63"/>
      </right>
      <top>
        <color indexed="63"/>
      </top>
      <bottom style="thin"/>
    </border>
    <border>
      <left style="thin"/>
      <right style="thin"/>
      <top style="thin">
        <color indexed="23"/>
      </top>
      <bottom style="thin">
        <color indexed="23"/>
      </bottom>
    </border>
    <border>
      <left style="thin"/>
      <right style="thin"/>
      <top style="thin">
        <color indexed="23"/>
      </top>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s>
  <cellStyleXfs count="101">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4" fontId="2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24" fillId="0" borderId="0" applyFont="0" applyFill="0" applyBorder="0" applyAlignment="0" applyProtection="0"/>
    <xf numFmtId="0" fontId="134" fillId="0" borderId="0">
      <alignment/>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82" fillId="16" borderId="1" applyNumberFormat="0" applyAlignment="0" applyProtection="0"/>
    <xf numFmtId="0" fontId="79" fillId="7"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8" fillId="17" borderId="6" applyNumberFormat="0" applyFont="0" applyAlignment="0" applyProtection="0"/>
    <xf numFmtId="0" fontId="3" fillId="0" borderId="0" applyNumberFormat="0" applyFill="0" applyBorder="0" applyAlignment="0" applyProtection="0"/>
    <xf numFmtId="0" fontId="73" fillId="18" borderId="7" applyNumberFormat="0" applyAlignment="0" applyProtection="0"/>
    <xf numFmtId="0" fontId="135" fillId="0" borderId="0">
      <alignment/>
      <protection/>
    </xf>
    <xf numFmtId="0" fontId="8" fillId="0" borderId="0">
      <alignment/>
      <protection/>
    </xf>
    <xf numFmtId="0" fontId="8" fillId="0" borderId="0">
      <alignment/>
      <protection/>
    </xf>
    <xf numFmtId="0" fontId="0" fillId="0" borderId="0">
      <alignment/>
      <protection/>
    </xf>
    <xf numFmtId="0" fontId="7"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29" fillId="0" borderId="0">
      <alignment/>
      <protection/>
    </xf>
    <xf numFmtId="0" fontId="29" fillId="0" borderId="0">
      <alignment/>
      <protection/>
    </xf>
    <xf numFmtId="0" fontId="7" fillId="0" borderId="0">
      <alignment/>
      <protection/>
    </xf>
    <xf numFmtId="0" fontId="7" fillId="0" borderId="0">
      <alignment/>
      <protection/>
    </xf>
    <xf numFmtId="0" fontId="7" fillId="0" borderId="0">
      <alignment/>
      <protection/>
    </xf>
    <xf numFmtId="0" fontId="19" fillId="0" borderId="0">
      <alignment/>
      <protection/>
    </xf>
    <xf numFmtId="0" fontId="19" fillId="0" borderId="0">
      <alignment/>
      <protection/>
    </xf>
    <xf numFmtId="0" fontId="7" fillId="0" borderId="0">
      <alignment/>
      <protection/>
    </xf>
    <xf numFmtId="0" fontId="7" fillId="0" borderId="0">
      <alignment/>
      <protection/>
    </xf>
    <xf numFmtId="0" fontId="7" fillId="0" borderId="0">
      <alignment/>
      <protection/>
    </xf>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22" borderId="0" applyNumberFormat="0" applyBorder="0" applyAlignment="0" applyProtection="0"/>
    <xf numFmtId="0" fontId="80" fillId="0" borderId="8" applyNumberFormat="0" applyFill="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72" fillId="16" borderId="2" applyNumberFormat="0" applyAlignment="0" applyProtection="0"/>
    <xf numFmtId="0" fontId="84" fillId="0" borderId="9" applyNumberFormat="0" applyFill="0" applyAlignment="0" applyProtection="0"/>
    <xf numFmtId="0" fontId="75" fillId="4" borderId="0" applyNumberFormat="0" applyBorder="0" applyAlignment="0" applyProtection="0"/>
    <xf numFmtId="0" fontId="81" fillId="23" borderId="0" applyNumberFormat="0" applyBorder="0" applyAlignment="0" applyProtection="0"/>
    <xf numFmtId="0" fontId="85" fillId="0" borderId="0" applyNumberFormat="0" applyFill="0" applyBorder="0" applyAlignment="0" applyProtection="0"/>
    <xf numFmtId="0" fontId="74" fillId="0" borderId="0" applyNumberFormat="0" applyFill="0" applyBorder="0" applyAlignment="0" applyProtection="0"/>
    <xf numFmtId="0" fontId="71" fillId="3" borderId="0" applyNumberFormat="0" applyBorder="0" applyAlignment="0" applyProtection="0"/>
  </cellStyleXfs>
  <cellXfs count="161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centerContinuous"/>
    </xf>
    <xf numFmtId="0" fontId="1" fillId="0" borderId="10" xfId="0"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3" fontId="1" fillId="0" borderId="12" xfId="0" applyNumberFormat="1" applyFont="1" applyBorder="1" applyAlignment="1">
      <alignment horizontal="center"/>
    </xf>
    <xf numFmtId="3" fontId="1" fillId="0" borderId="13" xfId="0" applyNumberFormat="1" applyFont="1" applyBorder="1" applyAlignment="1">
      <alignment horizontal="centerContinuous"/>
    </xf>
    <xf numFmtId="0" fontId="1" fillId="0" borderId="14" xfId="0" applyFont="1" applyBorder="1" applyAlignment="1">
      <alignment/>
    </xf>
    <xf numFmtId="0" fontId="2" fillId="0" borderId="14" xfId="0" applyFont="1" applyBorder="1" applyAlignment="1">
      <alignment/>
    </xf>
    <xf numFmtId="0" fontId="1" fillId="0" borderId="10" xfId="0" applyFont="1" applyBorder="1" applyAlignment="1" quotePrefix="1">
      <alignment/>
    </xf>
    <xf numFmtId="0" fontId="1" fillId="0" borderId="15" xfId="0" applyFont="1" applyBorder="1" applyAlignment="1">
      <alignment/>
    </xf>
    <xf numFmtId="0" fontId="1" fillId="0" borderId="15" xfId="0" applyFont="1" applyFill="1" applyBorder="1" applyAlignment="1">
      <alignment horizontal="center"/>
    </xf>
    <xf numFmtId="0" fontId="1" fillId="0" borderId="16" xfId="0" applyFont="1" applyBorder="1" applyAlignment="1">
      <alignment horizontal="center"/>
    </xf>
    <xf numFmtId="3" fontId="1" fillId="0" borderId="16" xfId="0" applyNumberFormat="1" applyFont="1" applyBorder="1" applyAlignment="1">
      <alignment horizontal="center"/>
    </xf>
    <xf numFmtId="0" fontId="1" fillId="0" borderId="15" xfId="0" applyFont="1" applyBorder="1" applyAlignment="1">
      <alignment horizontal="center"/>
    </xf>
    <xf numFmtId="3" fontId="1" fillId="0" borderId="15" xfId="0" applyNumberFormat="1" applyFont="1" applyBorder="1" applyAlignment="1">
      <alignment horizontal="center"/>
    </xf>
    <xf numFmtId="0" fontId="1" fillId="0" borderId="17" xfId="0" applyFont="1" applyBorder="1" applyAlignment="1">
      <alignment/>
    </xf>
    <xf numFmtId="0" fontId="1" fillId="0" borderId="17" xfId="0" applyFont="1" applyBorder="1" applyAlignment="1">
      <alignment horizontal="center"/>
    </xf>
    <xf numFmtId="3" fontId="1" fillId="0" borderId="15" xfId="0" applyNumberFormat="1" applyFont="1" applyBorder="1" applyAlignment="1" quotePrefix="1">
      <alignment horizontal="center"/>
    </xf>
    <xf numFmtId="0" fontId="1" fillId="0" borderId="12" xfId="0" applyFont="1" applyBorder="1" applyAlignment="1">
      <alignment horizontal="center"/>
    </xf>
    <xf numFmtId="3" fontId="1" fillId="0" borderId="12" xfId="0" applyNumberFormat="1" applyFont="1" applyBorder="1" applyAlignment="1" quotePrefix="1">
      <alignment horizontal="center"/>
    </xf>
    <xf numFmtId="0" fontId="0" fillId="0" borderId="11" xfId="0" applyFont="1" applyBorder="1" applyAlignment="1">
      <alignment/>
    </xf>
    <xf numFmtId="172" fontId="0" fillId="0" borderId="18" xfId="0" applyNumberFormat="1" applyFont="1" applyBorder="1" applyAlignment="1">
      <alignment/>
    </xf>
    <xf numFmtId="172" fontId="0" fillId="0" borderId="10" xfId="0" applyNumberFormat="1" applyFont="1" applyBorder="1" applyAlignment="1">
      <alignment/>
    </xf>
    <xf numFmtId="172" fontId="0" fillId="0" borderId="18" xfId="0" applyNumberFormat="1" applyFont="1" applyBorder="1" applyAlignment="1">
      <alignment horizontal="center"/>
    </xf>
    <xf numFmtId="0" fontId="0" fillId="0" borderId="15" xfId="0" applyFont="1" applyBorder="1" applyAlignment="1">
      <alignment horizontal="center"/>
    </xf>
    <xf numFmtId="3" fontId="0" fillId="0" borderId="15" xfId="0" applyNumberFormat="1" applyFont="1" applyBorder="1" applyAlignment="1">
      <alignment horizontal="center"/>
    </xf>
    <xf numFmtId="0" fontId="0" fillId="0" borderId="16" xfId="0" applyFont="1" applyBorder="1" applyAlignment="1">
      <alignment horizontal="center"/>
    </xf>
    <xf numFmtId="3" fontId="0" fillId="0" borderId="16" xfId="0" applyNumberFormat="1" applyFont="1" applyBorder="1" applyAlignment="1">
      <alignment horizontal="center"/>
    </xf>
    <xf numFmtId="3" fontId="0" fillId="0" borderId="16" xfId="0" applyNumberFormat="1" applyFont="1" applyBorder="1" applyAlignment="1">
      <alignment horizontal="centerContinuous"/>
    </xf>
    <xf numFmtId="0" fontId="0" fillId="0" borderId="12" xfId="0" applyFont="1" applyBorder="1" applyAlignment="1">
      <alignment horizontal="center"/>
    </xf>
    <xf numFmtId="3" fontId="0" fillId="0" borderId="12" xfId="0" applyNumberFormat="1"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xf>
    <xf numFmtId="3" fontId="0" fillId="0" borderId="18" xfId="0" applyNumberFormat="1" applyFont="1" applyBorder="1" applyAlignment="1">
      <alignment horizontal="center"/>
    </xf>
    <xf numFmtId="3" fontId="0" fillId="0" borderId="18" xfId="0" applyNumberFormat="1"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3" fontId="0" fillId="0" borderId="10" xfId="0" applyNumberFormat="1" applyFont="1" applyBorder="1" applyAlignment="1">
      <alignment horizontal="center"/>
    </xf>
    <xf numFmtId="3" fontId="0" fillId="0" borderId="10" xfId="0" applyNumberFormat="1" applyFont="1" applyBorder="1" applyAlignment="1">
      <alignment/>
    </xf>
    <xf numFmtId="172" fontId="0" fillId="0" borderId="10" xfId="0" applyNumberFormat="1" applyFont="1" applyBorder="1" applyAlignment="1">
      <alignment horizontal="center"/>
    </xf>
    <xf numFmtId="0" fontId="0" fillId="0" borderId="11" xfId="0" applyFont="1" applyBorder="1" applyAlignment="1">
      <alignment horizontal="center"/>
    </xf>
    <xf numFmtId="172" fontId="0" fillId="0" borderId="11" xfId="0" applyNumberFormat="1" applyFont="1" applyBorder="1" applyAlignment="1">
      <alignment horizontal="center"/>
    </xf>
    <xf numFmtId="172" fontId="0" fillId="0" borderId="11" xfId="0" applyNumberFormat="1" applyFont="1" applyBorder="1" applyAlignment="1">
      <alignment/>
    </xf>
    <xf numFmtId="1" fontId="0" fillId="0" borderId="12" xfId="0" applyNumberFormat="1" applyFont="1" applyBorder="1" applyAlignment="1">
      <alignment horizontal="center"/>
    </xf>
    <xf numFmtId="1" fontId="10" fillId="0" borderId="0" xfId="70" applyNumberFormat="1" applyFont="1" applyFill="1" applyAlignment="1">
      <alignment vertical="center"/>
      <protection/>
    </xf>
    <xf numFmtId="1" fontId="12" fillId="0" borderId="0" xfId="70" applyNumberFormat="1" applyFont="1" applyFill="1" applyAlignment="1">
      <alignment vertical="center"/>
      <protection/>
    </xf>
    <xf numFmtId="3" fontId="10" fillId="0" borderId="13" xfId="70" applyNumberFormat="1" applyFont="1" applyFill="1" applyBorder="1" applyAlignment="1">
      <alignment horizontal="center" vertical="center" wrapText="1"/>
      <protection/>
    </xf>
    <xf numFmtId="3" fontId="10" fillId="0" borderId="0" xfId="70" applyNumberFormat="1" applyFont="1" applyBorder="1" applyAlignment="1">
      <alignment horizontal="center" vertical="center" wrapText="1"/>
      <protection/>
    </xf>
    <xf numFmtId="3" fontId="10" fillId="0" borderId="13" xfId="70" applyNumberFormat="1" applyFont="1" applyFill="1" applyBorder="1" applyAlignment="1" quotePrefix="1">
      <alignment horizontal="center" vertical="center" wrapText="1"/>
      <protection/>
    </xf>
    <xf numFmtId="1" fontId="9" fillId="0" borderId="0" xfId="70" applyNumberFormat="1" applyFont="1" applyFill="1" applyAlignment="1">
      <alignment vertical="center"/>
      <protection/>
    </xf>
    <xf numFmtId="1" fontId="14" fillId="0" borderId="0" xfId="70" applyNumberFormat="1" applyFont="1" applyFill="1" applyAlignment="1">
      <alignment vertical="center"/>
      <protection/>
    </xf>
    <xf numFmtId="1" fontId="11" fillId="0" borderId="0" xfId="70" applyNumberFormat="1" applyFont="1" applyFill="1" applyAlignment="1">
      <alignment vertical="center"/>
      <protection/>
    </xf>
    <xf numFmtId="1" fontId="10" fillId="0" borderId="0" xfId="70" applyNumberFormat="1" applyFont="1" applyFill="1" applyBorder="1" applyAlignment="1">
      <alignment horizontal="center" vertical="center"/>
      <protection/>
    </xf>
    <xf numFmtId="1" fontId="10" fillId="0" borderId="0" xfId="70" applyNumberFormat="1" applyFont="1" applyFill="1" applyBorder="1" applyAlignment="1">
      <alignment vertical="center" wrapText="1"/>
      <protection/>
    </xf>
    <xf numFmtId="1" fontId="10" fillId="0" borderId="0" xfId="70" applyNumberFormat="1" applyFont="1" applyFill="1" applyBorder="1" applyAlignment="1">
      <alignment horizontal="center" vertical="center" wrapText="1"/>
      <protection/>
    </xf>
    <xf numFmtId="1" fontId="10" fillId="0" borderId="0" xfId="70" applyNumberFormat="1" applyFont="1" applyFill="1" applyBorder="1" applyAlignment="1">
      <alignment horizontal="right" vertical="center"/>
      <protection/>
    </xf>
    <xf numFmtId="1" fontId="10" fillId="0" borderId="0" xfId="70" applyNumberFormat="1" applyFont="1" applyFill="1" applyAlignment="1">
      <alignment horizontal="center" vertical="center"/>
      <protection/>
    </xf>
    <xf numFmtId="1" fontId="10" fillId="0" borderId="0" xfId="70" applyNumberFormat="1" applyFont="1" applyFill="1" applyAlignment="1">
      <alignment vertical="center" wrapText="1"/>
      <protection/>
    </xf>
    <xf numFmtId="1" fontId="10" fillId="0" borderId="0" xfId="70" applyNumberFormat="1" applyFont="1" applyFill="1" applyAlignment="1">
      <alignment horizontal="center" vertical="center" wrapText="1"/>
      <protection/>
    </xf>
    <xf numFmtId="1" fontId="10" fillId="0" borderId="0" xfId="70" applyNumberFormat="1" applyFont="1" applyFill="1" applyAlignment="1">
      <alignment horizontal="right" vertical="center"/>
      <protection/>
    </xf>
    <xf numFmtId="1" fontId="15" fillId="0" borderId="0" xfId="70" applyNumberFormat="1" applyFont="1" applyFill="1" applyBorder="1" applyAlignment="1">
      <alignment vertical="center"/>
      <protection/>
    </xf>
    <xf numFmtId="1" fontId="16" fillId="0" borderId="0" xfId="70" applyNumberFormat="1" applyFont="1" applyFill="1" applyBorder="1" applyAlignment="1">
      <alignment vertical="center"/>
      <protection/>
    </xf>
    <xf numFmtId="1" fontId="15" fillId="0" borderId="0" xfId="70" applyNumberFormat="1" applyFont="1" applyFill="1" applyAlignment="1">
      <alignment horizontal="center" vertical="center"/>
      <protection/>
    </xf>
    <xf numFmtId="1" fontId="15" fillId="0" borderId="0" xfId="70" applyNumberFormat="1" applyFont="1" applyFill="1" applyAlignment="1">
      <alignment horizontal="right" vertical="center"/>
      <protection/>
    </xf>
    <xf numFmtId="1" fontId="15" fillId="0" borderId="0" xfId="70" applyNumberFormat="1" applyFont="1" applyFill="1" applyAlignment="1">
      <alignment vertical="center" wrapText="1"/>
      <protection/>
    </xf>
    <xf numFmtId="1" fontId="17" fillId="0" borderId="0" xfId="70" applyNumberFormat="1" applyFont="1" applyFill="1" applyAlignment="1">
      <alignment horizontal="centerContinuous" vertical="center" wrapText="1"/>
      <protection/>
    </xf>
    <xf numFmtId="0" fontId="19" fillId="0" borderId="0" xfId="0" applyFont="1" applyAlignment="1">
      <alignment horizontal="centerContinuous"/>
    </xf>
    <xf numFmtId="0" fontId="0" fillId="0" borderId="19" xfId="0" applyBorder="1" applyAlignment="1">
      <alignment horizontal="centerContinuous"/>
    </xf>
    <xf numFmtId="0" fontId="0" fillId="0" borderId="20" xfId="0" applyBorder="1" applyAlignment="1">
      <alignment horizontal="centerContinuous"/>
    </xf>
    <xf numFmtId="3" fontId="1" fillId="0" borderId="16" xfId="0" applyNumberFormat="1" applyFont="1" applyBorder="1" applyAlignment="1" quotePrefix="1">
      <alignment horizontal="center"/>
    </xf>
    <xf numFmtId="0" fontId="20" fillId="0" borderId="0" xfId="0" applyFont="1" applyAlignment="1">
      <alignment horizontal="centerContinuous"/>
    </xf>
    <xf numFmtId="0" fontId="19" fillId="0" borderId="10" xfId="0" applyFont="1" applyBorder="1" applyAlignment="1">
      <alignment/>
    </xf>
    <xf numFmtId="3" fontId="24" fillId="0" borderId="0" xfId="70" applyNumberFormat="1" applyFont="1" applyBorder="1" applyAlignment="1">
      <alignment horizontal="center" vertical="center" wrapText="1"/>
      <protection/>
    </xf>
    <xf numFmtId="3" fontId="24" fillId="0" borderId="13" xfId="70" applyNumberFormat="1" applyFont="1" applyFill="1" applyBorder="1" applyAlignment="1">
      <alignment horizontal="center" vertical="center" wrapText="1"/>
      <protection/>
    </xf>
    <xf numFmtId="3" fontId="24" fillId="0" borderId="13" xfId="70" applyNumberFormat="1" applyFont="1" applyFill="1" applyBorder="1" applyAlignment="1" quotePrefix="1">
      <alignment horizontal="center" vertical="center" wrapText="1"/>
      <protection/>
    </xf>
    <xf numFmtId="3" fontId="24" fillId="0" borderId="0" xfId="70" applyNumberFormat="1" applyFont="1" applyFill="1" applyBorder="1" applyAlignment="1">
      <alignment vertical="center" wrapText="1"/>
      <protection/>
    </xf>
    <xf numFmtId="1" fontId="24" fillId="0" borderId="18" xfId="70" applyNumberFormat="1" applyFont="1" applyFill="1" applyBorder="1" applyAlignment="1">
      <alignment horizontal="center" vertical="center"/>
      <protection/>
    </xf>
    <xf numFmtId="1" fontId="17" fillId="0" borderId="18" xfId="70" applyNumberFormat="1" applyFont="1" applyFill="1" applyBorder="1" applyAlignment="1">
      <alignment horizontal="center" vertical="center" wrapText="1"/>
      <protection/>
    </xf>
    <xf numFmtId="1" fontId="24" fillId="0" borderId="18" xfId="70" applyNumberFormat="1" applyFont="1" applyFill="1" applyBorder="1" applyAlignment="1">
      <alignment horizontal="right" vertical="center"/>
      <protection/>
    </xf>
    <xf numFmtId="1" fontId="24" fillId="0" borderId="0" xfId="70" applyNumberFormat="1" applyFont="1" applyFill="1" applyBorder="1" applyAlignment="1">
      <alignment vertical="center"/>
      <protection/>
    </xf>
    <xf numFmtId="1" fontId="17" fillId="0" borderId="18" xfId="70" applyNumberFormat="1" applyFont="1" applyFill="1" applyBorder="1" applyAlignment="1">
      <alignment horizontal="center" vertical="center"/>
      <protection/>
    </xf>
    <xf numFmtId="0" fontId="24" fillId="0" borderId="10" xfId="0" applyFont="1" applyBorder="1" applyAlignment="1">
      <alignment horizontal="center"/>
    </xf>
    <xf numFmtId="0" fontId="24" fillId="0" borderId="10" xfId="0" applyFont="1" applyBorder="1" applyAlignment="1">
      <alignment/>
    </xf>
    <xf numFmtId="1" fontId="17" fillId="0" borderId="10" xfId="70" applyNumberFormat="1" applyFont="1" applyFill="1" applyBorder="1" applyAlignment="1">
      <alignment horizontal="right" vertical="center"/>
      <protection/>
    </xf>
    <xf numFmtId="1" fontId="17" fillId="0" borderId="0" xfId="70" applyNumberFormat="1" applyFont="1" applyFill="1" applyBorder="1" applyAlignment="1">
      <alignment vertical="center"/>
      <protection/>
    </xf>
    <xf numFmtId="1" fontId="24" fillId="0" borderId="10" xfId="70" applyNumberFormat="1" applyFont="1" applyFill="1" applyBorder="1" applyAlignment="1">
      <alignment horizontal="right" vertical="center"/>
      <protection/>
    </xf>
    <xf numFmtId="0" fontId="17" fillId="0" borderId="10" xfId="0" applyFont="1" applyBorder="1" applyAlignment="1">
      <alignment horizontal="center"/>
    </xf>
    <xf numFmtId="0" fontId="17" fillId="0" borderId="10" xfId="0" applyFont="1" applyBorder="1" applyAlignment="1">
      <alignment/>
    </xf>
    <xf numFmtId="1" fontId="24" fillId="0" borderId="10" xfId="70" applyNumberFormat="1" applyFont="1" applyFill="1" applyBorder="1" applyAlignment="1">
      <alignment horizontal="center" vertical="center"/>
      <protection/>
    </xf>
    <xf numFmtId="1" fontId="24" fillId="0" borderId="10" xfId="70" applyNumberFormat="1" applyFont="1" applyFill="1" applyBorder="1" applyAlignment="1" quotePrefix="1">
      <alignment vertical="center" wrapText="1"/>
      <protection/>
    </xf>
    <xf numFmtId="1" fontId="24" fillId="0" borderId="11" xfId="70" applyNumberFormat="1" applyFont="1" applyFill="1" applyBorder="1" applyAlignment="1">
      <alignment horizontal="center" vertical="center"/>
      <protection/>
    </xf>
    <xf numFmtId="1" fontId="24" fillId="0" borderId="11" xfId="70" applyNumberFormat="1" applyFont="1" applyFill="1" applyBorder="1" applyAlignment="1">
      <alignment vertical="center" wrapText="1"/>
      <protection/>
    </xf>
    <xf numFmtId="1" fontId="24" fillId="0" borderId="11" xfId="70" applyNumberFormat="1" applyFont="1" applyFill="1" applyBorder="1" applyAlignment="1">
      <alignment horizontal="right" vertical="center"/>
      <protection/>
    </xf>
    <xf numFmtId="1" fontId="24" fillId="0" borderId="0" xfId="70" applyNumberFormat="1" applyFont="1" applyFill="1" applyBorder="1" applyAlignment="1">
      <alignment horizontal="center" vertical="center"/>
      <protection/>
    </xf>
    <xf numFmtId="1" fontId="24" fillId="0" borderId="0" xfId="70" applyNumberFormat="1" applyFont="1" applyFill="1" applyBorder="1" applyAlignment="1">
      <alignment vertical="center" wrapText="1"/>
      <protection/>
    </xf>
    <xf numFmtId="1" fontId="24" fillId="0" borderId="0" xfId="70" applyNumberFormat="1" applyFont="1" applyFill="1" applyBorder="1" applyAlignment="1">
      <alignment horizontal="right" vertical="center"/>
      <protection/>
    </xf>
    <xf numFmtId="0" fontId="19" fillId="0" borderId="0" xfId="0" applyFont="1" applyAlignment="1">
      <alignment/>
    </xf>
    <xf numFmtId="0" fontId="23" fillId="0" borderId="13" xfId="0" applyFont="1" applyFill="1" applyBorder="1" applyAlignment="1">
      <alignment horizontal="center" vertical="center" wrapText="1"/>
    </xf>
    <xf numFmtId="0" fontId="23" fillId="0" borderId="21" xfId="0" applyFont="1" applyFill="1" applyBorder="1" applyAlignment="1">
      <alignment horizontal="center" vertical="center" wrapText="1"/>
    </xf>
    <xf numFmtId="1" fontId="17" fillId="0" borderId="13"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1" fontId="22" fillId="0" borderId="13" xfId="0" applyNumberFormat="1" applyFont="1" applyFill="1" applyBorder="1" applyAlignment="1">
      <alignment horizontal="center" vertical="center" wrapText="1"/>
    </xf>
    <xf numFmtId="0" fontId="22" fillId="0" borderId="13" xfId="0" applyFont="1" applyFill="1" applyBorder="1" applyAlignment="1">
      <alignment horizontal="center"/>
    </xf>
    <xf numFmtId="0" fontId="21" fillId="0" borderId="0" xfId="0" applyFont="1" applyAlignment="1">
      <alignment vertical="center"/>
    </xf>
    <xf numFmtId="0" fontId="19" fillId="0" borderId="0" xfId="0" applyNumberFormat="1" applyFont="1" applyAlignment="1">
      <alignment/>
    </xf>
    <xf numFmtId="0" fontId="19" fillId="0" borderId="10" xfId="0" applyFont="1" applyBorder="1" applyAlignment="1">
      <alignment horizontal="center" vertical="center"/>
    </xf>
    <xf numFmtId="0" fontId="19" fillId="0" borderId="10" xfId="0" applyNumberFormat="1" applyFont="1" applyBorder="1" applyAlignment="1">
      <alignment vertical="center"/>
    </xf>
    <xf numFmtId="0" fontId="19" fillId="0" borderId="11" xfId="0" applyFont="1" applyBorder="1" applyAlignment="1">
      <alignment horizontal="center" vertical="center"/>
    </xf>
    <xf numFmtId="0" fontId="19" fillId="0" borderId="11" xfId="0" applyNumberFormat="1" applyFont="1" applyBorder="1" applyAlignment="1">
      <alignment vertical="center"/>
    </xf>
    <xf numFmtId="0" fontId="19" fillId="0" borderId="11" xfId="0" applyFont="1" applyBorder="1" applyAlignment="1">
      <alignment/>
    </xf>
    <xf numFmtId="0" fontId="19" fillId="0" borderId="18" xfId="0" applyFont="1" applyBorder="1" applyAlignment="1">
      <alignment horizontal="center" vertical="center"/>
    </xf>
    <xf numFmtId="0" fontId="19" fillId="0" borderId="18" xfId="0" applyNumberFormat="1" applyFont="1" applyBorder="1" applyAlignment="1">
      <alignment vertical="center"/>
    </xf>
    <xf numFmtId="0" fontId="19" fillId="0" borderId="18" xfId="0" applyFont="1" applyBorder="1" applyAlignment="1">
      <alignment/>
    </xf>
    <xf numFmtId="0" fontId="19" fillId="0" borderId="15" xfId="0" applyFont="1" applyBorder="1" applyAlignment="1">
      <alignment/>
    </xf>
    <xf numFmtId="0" fontId="21" fillId="0" borderId="15" xfId="0" applyNumberFormat="1" applyFont="1" applyBorder="1" applyAlignment="1">
      <alignment horizontal="center" vertical="center" wrapText="1"/>
    </xf>
    <xf numFmtId="0" fontId="21" fillId="0" borderId="16" xfId="0" applyNumberFormat="1" applyFont="1" applyBorder="1" applyAlignment="1">
      <alignment horizontal="center" vertical="center" wrapText="1"/>
    </xf>
    <xf numFmtId="0" fontId="19" fillId="0" borderId="0" xfId="0" applyFont="1" applyAlignment="1">
      <alignment horizontal="centerContinuous" vertical="center"/>
    </xf>
    <xf numFmtId="0" fontId="19" fillId="0" borderId="0" xfId="0" applyNumberFormat="1" applyFont="1" applyAlignment="1">
      <alignment horizontal="centerContinuous"/>
    </xf>
    <xf numFmtId="0" fontId="20" fillId="0" borderId="0" xfId="0" applyNumberFormat="1" applyFont="1" applyAlignment="1">
      <alignment horizontal="centerContinuous"/>
    </xf>
    <xf numFmtId="0" fontId="25" fillId="0" borderId="0" xfId="0" applyFont="1" applyAlignment="1">
      <alignment horizontal="centerContinuous"/>
    </xf>
    <xf numFmtId="0" fontId="10" fillId="0" borderId="13" xfId="76" applyFont="1" applyFill="1" applyBorder="1" applyAlignment="1">
      <alignment horizontal="left" vertical="center" wrapText="1"/>
      <protection/>
    </xf>
    <xf numFmtId="0" fontId="10" fillId="0" borderId="13" xfId="76" applyFont="1" applyFill="1" applyBorder="1" applyAlignment="1">
      <alignment horizontal="center" vertical="center" wrapText="1"/>
      <protection/>
    </xf>
    <xf numFmtId="1" fontId="28" fillId="0" borderId="13" xfId="70" applyNumberFormat="1" applyFont="1" applyFill="1" applyBorder="1" applyAlignment="1">
      <alignment horizontal="center" vertical="center" wrapText="1"/>
      <protection/>
    </xf>
    <xf numFmtId="0" fontId="10" fillId="0" borderId="13" xfId="76" applyFont="1" applyFill="1" applyBorder="1" applyAlignment="1">
      <alignment vertical="center" wrapText="1"/>
      <protection/>
    </xf>
    <xf numFmtId="3" fontId="28" fillId="0" borderId="13" xfId="70" applyNumberFormat="1" applyFont="1" applyFill="1" applyBorder="1" applyAlignment="1">
      <alignment horizontal="right" vertical="center"/>
      <protection/>
    </xf>
    <xf numFmtId="0" fontId="28" fillId="0" borderId="13" xfId="0" applyFont="1" applyFill="1" applyBorder="1" applyAlignment="1">
      <alignment horizontal="left" vertical="center" wrapText="1"/>
    </xf>
    <xf numFmtId="1" fontId="10" fillId="0" borderId="13" xfId="70" applyNumberFormat="1" applyFont="1" applyFill="1" applyBorder="1" applyAlignment="1">
      <alignment horizontal="center" vertical="center"/>
      <protection/>
    </xf>
    <xf numFmtId="1" fontId="10" fillId="0" borderId="13" xfId="70" applyNumberFormat="1" applyFont="1" applyFill="1" applyBorder="1" applyAlignment="1">
      <alignment horizontal="center" vertical="center" wrapText="1"/>
      <protection/>
    </xf>
    <xf numFmtId="1" fontId="10" fillId="0" borderId="13" xfId="70" applyNumberFormat="1" applyFont="1" applyFill="1" applyBorder="1" applyAlignment="1">
      <alignment horizontal="right" vertical="center"/>
      <protection/>
    </xf>
    <xf numFmtId="1" fontId="9" fillId="0" borderId="13" xfId="70" applyNumberFormat="1" applyFont="1" applyFill="1" applyBorder="1" applyAlignment="1">
      <alignment horizontal="center" vertical="center" wrapText="1"/>
      <protection/>
    </xf>
    <xf numFmtId="1" fontId="9" fillId="0" borderId="13" xfId="70" applyNumberFormat="1" applyFont="1" applyFill="1" applyBorder="1" applyAlignment="1">
      <alignment horizontal="right" vertical="center"/>
      <protection/>
    </xf>
    <xf numFmtId="1" fontId="14" fillId="0" borderId="13" xfId="70" applyNumberFormat="1" applyFont="1" applyFill="1" applyBorder="1" applyAlignment="1">
      <alignment horizontal="center" vertical="center" wrapText="1"/>
      <protection/>
    </xf>
    <xf numFmtId="1" fontId="14" fillId="0" borderId="13" xfId="70" applyNumberFormat="1" applyFont="1" applyFill="1" applyBorder="1" applyAlignment="1">
      <alignment horizontal="right" vertical="center"/>
      <protection/>
    </xf>
    <xf numFmtId="173" fontId="10" fillId="0" borderId="13" xfId="46" applyNumberFormat="1" applyFont="1" applyFill="1" applyBorder="1" applyAlignment="1">
      <alignment horizontal="right" vertical="center"/>
    </xf>
    <xf numFmtId="1" fontId="11" fillId="0" borderId="13" xfId="70" applyNumberFormat="1" applyFont="1" applyFill="1" applyBorder="1" applyAlignment="1">
      <alignment horizontal="center" vertical="center" wrapText="1"/>
      <protection/>
    </xf>
    <xf numFmtId="1" fontId="11" fillId="0" borderId="13" xfId="70" applyNumberFormat="1" applyFont="1" applyFill="1" applyBorder="1" applyAlignment="1">
      <alignment horizontal="right" vertical="center"/>
      <protection/>
    </xf>
    <xf numFmtId="0" fontId="10" fillId="0" borderId="13" xfId="75" applyFont="1" applyFill="1" applyBorder="1" applyAlignment="1">
      <alignment horizontal="left" vertical="center" wrapText="1"/>
      <protection/>
    </xf>
    <xf numFmtId="1" fontId="11" fillId="0" borderId="13" xfId="70" applyNumberFormat="1" applyFont="1" applyFill="1" applyBorder="1" applyAlignment="1">
      <alignment horizontal="center" vertical="center"/>
      <protection/>
    </xf>
    <xf numFmtId="0" fontId="10" fillId="0" borderId="13" xfId="69" applyFont="1" applyFill="1" applyBorder="1" applyAlignment="1">
      <alignment horizontal="left" vertical="center" wrapText="1"/>
      <protection/>
    </xf>
    <xf numFmtId="173" fontId="9" fillId="0" borderId="13" xfId="46" applyNumberFormat="1" applyFont="1" applyFill="1" applyBorder="1" applyAlignment="1">
      <alignment horizontal="right" vertical="center"/>
    </xf>
    <xf numFmtId="173" fontId="10" fillId="0" borderId="0" xfId="46" applyNumberFormat="1" applyFont="1" applyFill="1" applyBorder="1" applyAlignment="1">
      <alignment horizontal="right" vertical="center"/>
    </xf>
    <xf numFmtId="173" fontId="10" fillId="0" borderId="0" xfId="46" applyNumberFormat="1" applyFont="1" applyFill="1" applyAlignment="1">
      <alignment horizontal="right" vertical="center"/>
    </xf>
    <xf numFmtId="3" fontId="10" fillId="0" borderId="13" xfId="70" applyNumberFormat="1" applyFont="1" applyFill="1" applyBorder="1" applyAlignment="1">
      <alignment horizontal="right" vertical="center"/>
      <protection/>
    </xf>
    <xf numFmtId="3" fontId="9" fillId="0" borderId="13" xfId="70" applyNumberFormat="1" applyFont="1" applyFill="1" applyBorder="1" applyAlignment="1">
      <alignment horizontal="right" vertical="center"/>
      <protection/>
    </xf>
    <xf numFmtId="3" fontId="14" fillId="0" borderId="13" xfId="70" applyNumberFormat="1" applyFont="1" applyFill="1" applyBorder="1" applyAlignment="1">
      <alignment horizontal="right" vertical="center"/>
      <protection/>
    </xf>
    <xf numFmtId="3" fontId="11" fillId="0" borderId="13" xfId="70" applyNumberFormat="1" applyFont="1" applyFill="1" applyBorder="1" applyAlignment="1">
      <alignment horizontal="right" vertical="center"/>
      <protection/>
    </xf>
    <xf numFmtId="3" fontId="10" fillId="0" borderId="0" xfId="70" applyNumberFormat="1" applyFont="1" applyFill="1" applyBorder="1" applyAlignment="1">
      <alignment horizontal="right" vertical="center"/>
      <protection/>
    </xf>
    <xf numFmtId="3" fontId="9" fillId="0" borderId="0" xfId="70" applyNumberFormat="1" applyFont="1" applyFill="1" applyAlignment="1">
      <alignment vertical="center" wrapText="1"/>
      <protection/>
    </xf>
    <xf numFmtId="3" fontId="10" fillId="0" borderId="0" xfId="70" applyNumberFormat="1" applyFont="1" applyFill="1" applyAlignment="1">
      <alignment horizontal="right" vertical="center"/>
      <protection/>
    </xf>
    <xf numFmtId="0" fontId="11" fillId="0" borderId="13" xfId="76" applyFont="1" applyFill="1" applyBorder="1" applyAlignment="1">
      <alignment vertical="center" wrapText="1"/>
      <protection/>
    </xf>
    <xf numFmtId="0" fontId="11" fillId="0" borderId="13" xfId="76" applyFont="1" applyFill="1" applyBorder="1" applyAlignment="1">
      <alignment horizontal="center" vertical="center" wrapText="1"/>
      <protection/>
    </xf>
    <xf numFmtId="1" fontId="30" fillId="0" borderId="13" xfId="70" applyNumberFormat="1" applyFont="1" applyFill="1" applyBorder="1" applyAlignment="1">
      <alignment horizontal="center" vertical="center" wrapText="1"/>
      <protection/>
    </xf>
    <xf numFmtId="173" fontId="31" fillId="0" borderId="13" xfId="46" applyNumberFormat="1" applyFont="1" applyFill="1" applyBorder="1" applyAlignment="1">
      <alignment horizontal="right" vertical="center"/>
    </xf>
    <xf numFmtId="3" fontId="30" fillId="0" borderId="13" xfId="70" applyNumberFormat="1" applyFont="1" applyFill="1" applyBorder="1" applyAlignment="1">
      <alignment horizontal="right" vertical="center"/>
      <protection/>
    </xf>
    <xf numFmtId="3" fontId="10" fillId="0" borderId="13" xfId="46" applyNumberFormat="1" applyFont="1" applyFill="1" applyBorder="1" applyAlignment="1">
      <alignment horizontal="right" vertical="center"/>
    </xf>
    <xf numFmtId="3" fontId="10" fillId="0" borderId="0" xfId="70" applyNumberFormat="1" applyFont="1" applyFill="1" applyBorder="1" applyAlignment="1">
      <alignment horizontal="center" vertical="center" wrapText="1"/>
      <protection/>
    </xf>
    <xf numFmtId="0" fontId="10" fillId="0" borderId="13" xfId="69" applyFont="1" applyFill="1" applyBorder="1" applyAlignment="1">
      <alignment horizontal="center" vertical="center" wrapText="1"/>
      <protection/>
    </xf>
    <xf numFmtId="1" fontId="14" fillId="24" borderId="13" xfId="70" applyNumberFormat="1" applyFont="1" applyFill="1" applyBorder="1" applyAlignment="1">
      <alignment horizontal="center" vertical="center"/>
      <protection/>
    </xf>
    <xf numFmtId="1" fontId="14" fillId="24" borderId="13" xfId="70" applyNumberFormat="1" applyFont="1" applyFill="1" applyBorder="1" applyAlignment="1">
      <alignment vertical="center" wrapText="1"/>
      <protection/>
    </xf>
    <xf numFmtId="1" fontId="11" fillId="24" borderId="13" xfId="70" applyNumberFormat="1" applyFont="1" applyFill="1" applyBorder="1" applyAlignment="1">
      <alignment horizontal="center" vertical="center" wrapText="1"/>
      <protection/>
    </xf>
    <xf numFmtId="3" fontId="14" fillId="24" borderId="13" xfId="70" applyNumberFormat="1" applyFont="1" applyFill="1" applyBorder="1" applyAlignment="1">
      <alignment horizontal="right" vertical="center"/>
      <protection/>
    </xf>
    <xf numFmtId="1" fontId="11" fillId="24" borderId="13" xfId="70" applyNumberFormat="1" applyFont="1" applyFill="1" applyBorder="1" applyAlignment="1">
      <alignment horizontal="right" vertical="center"/>
      <protection/>
    </xf>
    <xf numFmtId="1" fontId="11" fillId="24" borderId="0" xfId="70" applyNumberFormat="1" applyFont="1" applyFill="1" applyAlignment="1">
      <alignment vertical="center"/>
      <protection/>
    </xf>
    <xf numFmtId="1" fontId="14" fillId="24" borderId="13" xfId="70" applyNumberFormat="1" applyFont="1" applyFill="1" applyBorder="1" applyAlignment="1">
      <alignment horizontal="center" vertical="center" wrapText="1"/>
      <protection/>
    </xf>
    <xf numFmtId="1" fontId="14" fillId="24" borderId="13" xfId="70" applyNumberFormat="1" applyFont="1" applyFill="1" applyBorder="1" applyAlignment="1">
      <alignment horizontal="right" vertical="center"/>
      <protection/>
    </xf>
    <xf numFmtId="1" fontId="14" fillId="24" borderId="0" xfId="70" applyNumberFormat="1" applyFont="1" applyFill="1" applyAlignment="1">
      <alignment vertical="center"/>
      <protection/>
    </xf>
    <xf numFmtId="1" fontId="9" fillId="7" borderId="13" xfId="70" applyNumberFormat="1" applyFont="1" applyFill="1" applyBorder="1" applyAlignment="1">
      <alignment horizontal="center" vertical="center"/>
      <protection/>
    </xf>
    <xf numFmtId="1" fontId="9" fillId="7" borderId="13" xfId="70" applyNumberFormat="1" applyFont="1" applyFill="1" applyBorder="1" applyAlignment="1">
      <alignment vertical="center" wrapText="1"/>
      <protection/>
    </xf>
    <xf numFmtId="1" fontId="9" fillId="7" borderId="13" xfId="70" applyNumberFormat="1" applyFont="1" applyFill="1" applyBorder="1" applyAlignment="1">
      <alignment horizontal="center" vertical="center" wrapText="1"/>
      <protection/>
    </xf>
    <xf numFmtId="3" fontId="9" fillId="7" borderId="13" xfId="70" applyNumberFormat="1" applyFont="1" applyFill="1" applyBorder="1" applyAlignment="1">
      <alignment horizontal="right" vertical="center"/>
      <protection/>
    </xf>
    <xf numFmtId="1" fontId="9" fillId="7" borderId="13" xfId="70" applyNumberFormat="1" applyFont="1" applyFill="1" applyBorder="1" applyAlignment="1">
      <alignment horizontal="right" vertical="center"/>
      <protection/>
    </xf>
    <xf numFmtId="1" fontId="9" fillId="7" borderId="0" xfId="70" applyNumberFormat="1" applyFont="1" applyFill="1" applyAlignment="1">
      <alignment vertical="center"/>
      <protection/>
    </xf>
    <xf numFmtId="3" fontId="10" fillId="0" borderId="13" xfId="46" applyNumberFormat="1" applyFont="1" applyFill="1" applyBorder="1" applyAlignment="1">
      <alignment horizontal="right" vertical="center" wrapText="1"/>
    </xf>
    <xf numFmtId="1" fontId="14" fillId="0" borderId="13" xfId="70" applyNumberFormat="1" applyFont="1" applyFill="1" applyBorder="1" applyAlignment="1">
      <alignment horizontal="center" vertical="center"/>
      <protection/>
    </xf>
    <xf numFmtId="1" fontId="14" fillId="0" borderId="13" xfId="70" applyNumberFormat="1" applyFont="1" applyFill="1" applyBorder="1" applyAlignment="1">
      <alignment vertical="center" wrapText="1"/>
      <protection/>
    </xf>
    <xf numFmtId="1" fontId="22" fillId="0" borderId="0" xfId="70" applyNumberFormat="1" applyFont="1" applyFill="1" applyAlignment="1">
      <alignment horizontal="left" vertical="center" wrapText="1"/>
      <protection/>
    </xf>
    <xf numFmtId="1" fontId="22" fillId="0" borderId="0" xfId="70" applyNumberFormat="1" applyFont="1" applyFill="1" applyAlignment="1">
      <alignment horizontal="right" vertical="center"/>
      <protection/>
    </xf>
    <xf numFmtId="1" fontId="22" fillId="0" borderId="0" xfId="70" applyNumberFormat="1" applyFont="1" applyFill="1" applyBorder="1" applyAlignment="1">
      <alignment vertical="center"/>
      <protection/>
    </xf>
    <xf numFmtId="1" fontId="22" fillId="0" borderId="0" xfId="70" applyNumberFormat="1" applyFont="1" applyFill="1" applyAlignment="1">
      <alignment horizontal="center" vertical="center"/>
      <protection/>
    </xf>
    <xf numFmtId="1" fontId="22" fillId="0" borderId="0" xfId="70" applyNumberFormat="1" applyFont="1" applyFill="1" applyAlignment="1">
      <alignment vertical="center" wrapText="1"/>
      <protection/>
    </xf>
    <xf numFmtId="1" fontId="22" fillId="0" borderId="22" xfId="70" applyNumberFormat="1" applyFont="1" applyFill="1" applyBorder="1" applyAlignment="1">
      <alignment horizontal="right" vertical="center"/>
      <protection/>
    </xf>
    <xf numFmtId="1" fontId="23" fillId="0" borderId="0" xfId="70" applyNumberFormat="1" applyFont="1" applyFill="1" applyAlignment="1">
      <alignment horizontal="right" vertical="center"/>
      <protection/>
    </xf>
    <xf numFmtId="1" fontId="23" fillId="0" borderId="0" xfId="70" applyNumberFormat="1" applyFont="1" applyFill="1" applyBorder="1" applyAlignment="1">
      <alignment vertical="center"/>
      <protection/>
    </xf>
    <xf numFmtId="1" fontId="22" fillId="0" borderId="13" xfId="70" applyNumberFormat="1" applyFont="1" applyFill="1" applyBorder="1" applyAlignment="1">
      <alignment horizontal="center" vertical="center" wrapText="1"/>
      <protection/>
    </xf>
    <xf numFmtId="1" fontId="23" fillId="0" borderId="13" xfId="70" applyNumberFormat="1" applyFont="1" applyFill="1" applyBorder="1" applyAlignment="1">
      <alignment horizontal="center" vertical="center"/>
      <protection/>
    </xf>
    <xf numFmtId="1" fontId="23" fillId="0" borderId="13" xfId="70" applyNumberFormat="1" applyFont="1" applyFill="1" applyBorder="1" applyAlignment="1">
      <alignment vertical="center" wrapText="1"/>
      <protection/>
    </xf>
    <xf numFmtId="1" fontId="23" fillId="25" borderId="13" xfId="70" applyNumberFormat="1" applyFont="1" applyFill="1" applyBorder="1" applyAlignment="1">
      <alignment horizontal="center" vertical="center"/>
      <protection/>
    </xf>
    <xf numFmtId="1" fontId="23" fillId="25" borderId="13" xfId="70" applyNumberFormat="1" applyFont="1" applyFill="1" applyBorder="1" applyAlignment="1">
      <alignment vertical="center" wrapText="1"/>
      <protection/>
    </xf>
    <xf numFmtId="1" fontId="23" fillId="25" borderId="0" xfId="70" applyNumberFormat="1" applyFont="1" applyFill="1" applyAlignment="1">
      <alignment horizontal="right" vertical="center"/>
      <protection/>
    </xf>
    <xf numFmtId="1" fontId="23" fillId="25" borderId="0" xfId="70" applyNumberFormat="1" applyFont="1" applyFill="1" applyBorder="1" applyAlignment="1">
      <alignment vertical="center"/>
      <protection/>
    </xf>
    <xf numFmtId="1" fontId="32" fillId="0" borderId="13" xfId="70" applyNumberFormat="1" applyFont="1" applyFill="1" applyBorder="1" applyAlignment="1">
      <alignment horizontal="center" vertical="center"/>
      <protection/>
    </xf>
    <xf numFmtId="1" fontId="32" fillId="0" borderId="13" xfId="70" applyNumberFormat="1" applyFont="1" applyFill="1" applyBorder="1" applyAlignment="1">
      <alignment vertical="center" wrapText="1"/>
      <protection/>
    </xf>
    <xf numFmtId="1" fontId="32" fillId="0" borderId="0" xfId="70" applyNumberFormat="1" applyFont="1" applyFill="1" applyAlignment="1">
      <alignment horizontal="right" vertical="center"/>
      <protection/>
    </xf>
    <xf numFmtId="1" fontId="32" fillId="0" borderId="0" xfId="70" applyNumberFormat="1" applyFont="1" applyFill="1" applyBorder="1" applyAlignment="1">
      <alignment vertical="center"/>
      <protection/>
    </xf>
    <xf numFmtId="1" fontId="33" fillId="4" borderId="13" xfId="70" applyNumberFormat="1" applyFont="1" applyFill="1" applyBorder="1" applyAlignment="1">
      <alignment horizontal="center" vertical="center"/>
      <protection/>
    </xf>
    <xf numFmtId="1" fontId="33" fillId="4" borderId="13" xfId="70" applyNumberFormat="1" applyFont="1" applyFill="1" applyBorder="1" applyAlignment="1">
      <alignment vertical="center" wrapText="1"/>
      <protection/>
    </xf>
    <xf numFmtId="1" fontId="33" fillId="4" borderId="0" xfId="70" applyNumberFormat="1" applyFont="1" applyFill="1" applyAlignment="1">
      <alignment horizontal="right" vertical="center"/>
      <protection/>
    </xf>
    <xf numFmtId="1" fontId="33" fillId="4" borderId="0" xfId="70" applyNumberFormat="1" applyFont="1" applyFill="1" applyBorder="1" applyAlignment="1">
      <alignment vertical="center"/>
      <protection/>
    </xf>
    <xf numFmtId="1" fontId="22" fillId="0" borderId="13" xfId="70" applyNumberFormat="1" applyFont="1" applyFill="1" applyBorder="1" applyAlignment="1">
      <alignment horizontal="center" vertical="center"/>
      <protection/>
    </xf>
    <xf numFmtId="1" fontId="22" fillId="0" borderId="13" xfId="70" applyNumberFormat="1" applyFont="1" applyFill="1" applyBorder="1" applyAlignment="1">
      <alignment vertical="center" wrapText="1"/>
      <protection/>
    </xf>
    <xf numFmtId="172" fontId="22" fillId="0" borderId="13" xfId="70" applyNumberFormat="1" applyFont="1" applyFill="1" applyBorder="1" applyAlignment="1">
      <alignment horizontal="right" vertical="center"/>
      <protection/>
    </xf>
    <xf numFmtId="0" fontId="34" fillId="26" borderId="10" xfId="0" applyFont="1" applyFill="1" applyBorder="1" applyAlignment="1">
      <alignment horizontal="left" vertical="center" wrapText="1"/>
    </xf>
    <xf numFmtId="0" fontId="22" fillId="0" borderId="13" xfId="69" applyFont="1" applyFill="1" applyBorder="1" applyAlignment="1">
      <alignment horizontal="left" vertical="center" wrapText="1"/>
      <protection/>
    </xf>
    <xf numFmtId="0" fontId="35" fillId="0" borderId="0" xfId="0" applyFont="1" applyAlignment="1">
      <alignment/>
    </xf>
    <xf numFmtId="2" fontId="19" fillId="0" borderId="10" xfId="0" applyNumberFormat="1" applyFont="1" applyFill="1" applyBorder="1" applyAlignment="1">
      <alignment/>
    </xf>
    <xf numFmtId="2" fontId="37" fillId="0" borderId="10" xfId="0" applyNumberFormat="1" applyFont="1" applyFill="1" applyBorder="1" applyAlignment="1">
      <alignment/>
    </xf>
    <xf numFmtId="3" fontId="19" fillId="0" borderId="10" xfId="0" applyNumberFormat="1" applyFont="1" applyFill="1" applyBorder="1" applyAlignment="1">
      <alignment/>
    </xf>
    <xf numFmtId="171" fontId="19" fillId="0" borderId="10" xfId="46" applyFont="1" applyFill="1" applyBorder="1" applyAlignment="1">
      <alignment/>
    </xf>
    <xf numFmtId="171" fontId="19" fillId="0" borderId="11" xfId="46" applyFont="1" applyFill="1" applyBorder="1" applyAlignment="1">
      <alignment/>
    </xf>
    <xf numFmtId="0" fontId="28" fillId="26" borderId="13" xfId="0" applyFont="1" applyFill="1" applyBorder="1" applyAlignment="1">
      <alignment horizontal="center" vertical="center" wrapText="1"/>
    </xf>
    <xf numFmtId="3" fontId="10" fillId="0" borderId="13" xfId="70" applyNumberFormat="1" applyFont="1" applyFill="1" applyBorder="1" applyAlignment="1" quotePrefix="1">
      <alignment horizontal="right" vertical="center" wrapText="1"/>
      <protection/>
    </xf>
    <xf numFmtId="1" fontId="23" fillId="0" borderId="13" xfId="70" applyNumberFormat="1" applyFont="1" applyFill="1" applyBorder="1" applyAlignment="1">
      <alignment horizontal="center" vertical="center" wrapText="1"/>
      <protection/>
    </xf>
    <xf numFmtId="1" fontId="33" fillId="0" borderId="0" xfId="70" applyNumberFormat="1" applyFont="1" applyFill="1" applyAlignment="1">
      <alignment horizontal="right" vertical="center"/>
      <protection/>
    </xf>
    <xf numFmtId="1" fontId="33" fillId="0" borderId="0" xfId="70" applyNumberFormat="1" applyFont="1" applyFill="1" applyBorder="1" applyAlignment="1">
      <alignment vertical="center"/>
      <protection/>
    </xf>
    <xf numFmtId="1" fontId="23" fillId="25" borderId="13" xfId="70" applyNumberFormat="1" applyFont="1" applyFill="1" applyBorder="1" applyAlignment="1">
      <alignment horizontal="center" vertical="center" wrapText="1"/>
      <protection/>
    </xf>
    <xf numFmtId="1" fontId="32" fillId="0" borderId="13" xfId="70" applyNumberFormat="1" applyFont="1" applyFill="1" applyBorder="1" applyAlignment="1">
      <alignment horizontal="center" vertical="center" wrapText="1"/>
      <protection/>
    </xf>
    <xf numFmtId="1" fontId="33" fillId="4" borderId="13" xfId="70" applyNumberFormat="1" applyFont="1" applyFill="1" applyBorder="1" applyAlignment="1">
      <alignment horizontal="center" vertical="center" wrapText="1"/>
      <protection/>
    </xf>
    <xf numFmtId="1" fontId="33" fillId="0" borderId="13" xfId="70" applyNumberFormat="1" applyFont="1" applyFill="1" applyBorder="1" applyAlignment="1">
      <alignment horizontal="center" vertical="center" wrapText="1"/>
      <protection/>
    </xf>
    <xf numFmtId="0" fontId="35" fillId="0" borderId="0" xfId="0" applyFont="1" applyAlignment="1">
      <alignment horizontal="center" wrapText="1"/>
    </xf>
    <xf numFmtId="0" fontId="22" fillId="0" borderId="13" xfId="69" applyFont="1" applyFill="1" applyBorder="1" applyAlignment="1">
      <alignment horizontal="right" vertical="center" wrapText="1"/>
      <protection/>
    </xf>
    <xf numFmtId="0" fontId="22" fillId="0" borderId="13" xfId="0" applyFont="1" applyFill="1" applyBorder="1" applyAlignment="1">
      <alignment vertical="center"/>
    </xf>
    <xf numFmtId="0" fontId="22" fillId="0" borderId="13" xfId="0" applyNumberFormat="1" applyFont="1" applyFill="1" applyBorder="1" applyAlignment="1">
      <alignment vertical="center"/>
    </xf>
    <xf numFmtId="173" fontId="22" fillId="0" borderId="13" xfId="46" applyNumberFormat="1" applyFont="1" applyFill="1" applyBorder="1" applyAlignment="1">
      <alignment vertical="center"/>
    </xf>
    <xf numFmtId="2" fontId="19" fillId="0" borderId="11" xfId="0" applyNumberFormat="1" applyFont="1" applyFill="1" applyBorder="1" applyAlignment="1">
      <alignment/>
    </xf>
    <xf numFmtId="177" fontId="22" fillId="0" borderId="13" xfId="46" applyNumberFormat="1" applyFont="1" applyFill="1" applyBorder="1" applyAlignment="1">
      <alignment vertical="center"/>
    </xf>
    <xf numFmtId="0" fontId="0" fillId="0" borderId="0" xfId="0" applyAlignment="1">
      <alignment vertical="center"/>
    </xf>
    <xf numFmtId="0" fontId="23" fillId="0" borderId="19" xfId="0" applyFont="1" applyFill="1" applyBorder="1" applyAlignment="1">
      <alignment horizontal="left" vertical="center"/>
    </xf>
    <xf numFmtId="0" fontId="23" fillId="0" borderId="20" xfId="0" applyFont="1" applyFill="1" applyBorder="1" applyAlignment="1">
      <alignment horizontal="left" vertical="center"/>
    </xf>
    <xf numFmtId="0" fontId="22" fillId="0" borderId="13" xfId="0" applyFont="1" applyFill="1" applyBorder="1" applyAlignment="1">
      <alignment horizontal="center" vertical="center"/>
    </xf>
    <xf numFmtId="1" fontId="22" fillId="0" borderId="13" xfId="0" applyNumberFormat="1" applyFont="1" applyFill="1" applyBorder="1" applyAlignment="1">
      <alignment vertical="center"/>
    </xf>
    <xf numFmtId="0" fontId="35" fillId="0" borderId="0" xfId="0" applyFont="1" applyAlignment="1">
      <alignment vertical="center"/>
    </xf>
    <xf numFmtId="3" fontId="23" fillId="0" borderId="13" xfId="36" applyNumberFormat="1" applyFont="1" applyFill="1" applyBorder="1" applyAlignment="1">
      <alignment vertical="center"/>
    </xf>
    <xf numFmtId="43" fontId="22" fillId="0" borderId="13" xfId="36" applyNumberFormat="1" applyFont="1" applyFill="1" applyBorder="1" applyAlignment="1">
      <alignment vertical="center"/>
    </xf>
    <xf numFmtId="0" fontId="23" fillId="0" borderId="13" xfId="0" applyFont="1" applyFill="1" applyBorder="1" applyAlignment="1">
      <alignment vertical="center"/>
    </xf>
    <xf numFmtId="9" fontId="22" fillId="0" borderId="13" xfId="0" applyNumberFormat="1" applyFont="1" applyFill="1" applyBorder="1" applyAlignment="1">
      <alignment vertical="center"/>
    </xf>
    <xf numFmtId="0" fontId="19" fillId="0" borderId="0" xfId="0" applyFont="1" applyBorder="1" applyAlignment="1">
      <alignment horizontal="justify" vertical="center"/>
    </xf>
    <xf numFmtId="0" fontId="19" fillId="0" borderId="0" xfId="0" applyFont="1" applyBorder="1" applyAlignment="1">
      <alignment horizontal="justify" vertical="center" wrapText="1"/>
    </xf>
    <xf numFmtId="175" fontId="23" fillId="0" borderId="13" xfId="36" applyNumberFormat="1" applyFont="1" applyFill="1" applyBorder="1" applyAlignment="1">
      <alignment horizontal="right" vertical="center"/>
    </xf>
    <xf numFmtId="9" fontId="23" fillId="0" borderId="13" xfId="87" applyFont="1" applyFill="1" applyBorder="1" applyAlignment="1">
      <alignment vertical="center"/>
    </xf>
    <xf numFmtId="173" fontId="23" fillId="0" borderId="13" xfId="46" applyNumberFormat="1" applyFont="1" applyFill="1" applyBorder="1" applyAlignment="1">
      <alignment vertical="center"/>
    </xf>
    <xf numFmtId="9" fontId="21" fillId="0" borderId="13" xfId="0" applyNumberFormat="1" applyFont="1" applyFill="1" applyBorder="1" applyAlignment="1">
      <alignment horizontal="right" vertical="center"/>
    </xf>
    <xf numFmtId="0" fontId="22" fillId="0" borderId="13" xfId="0" applyFont="1" applyFill="1" applyBorder="1" applyAlignment="1">
      <alignment horizontal="right" vertical="center"/>
    </xf>
    <xf numFmtId="0" fontId="0" fillId="0" borderId="0" xfId="0" applyAlignment="1">
      <alignment horizontal="right" vertical="center"/>
    </xf>
    <xf numFmtId="4" fontId="23" fillId="0" borderId="13" xfId="36" applyNumberFormat="1" applyFont="1" applyFill="1" applyBorder="1" applyAlignment="1">
      <alignment vertical="center"/>
    </xf>
    <xf numFmtId="3" fontId="10" fillId="0" borderId="13" xfId="70" applyNumberFormat="1" applyFont="1" applyFill="1" applyBorder="1" applyAlignment="1">
      <alignment horizontal="right" vertical="center" wrapText="1"/>
      <protection/>
    </xf>
    <xf numFmtId="172" fontId="23" fillId="0" borderId="13" xfId="70" applyNumberFormat="1" applyFont="1" applyFill="1" applyBorder="1" applyAlignment="1">
      <alignment horizontal="right" vertical="center" wrapText="1"/>
      <protection/>
    </xf>
    <xf numFmtId="172" fontId="23" fillId="25" borderId="13" xfId="70" applyNumberFormat="1" applyFont="1" applyFill="1" applyBorder="1" applyAlignment="1">
      <alignment horizontal="right" vertical="center" wrapText="1"/>
      <protection/>
    </xf>
    <xf numFmtId="172" fontId="32" fillId="0" borderId="13" xfId="70" applyNumberFormat="1" applyFont="1" applyFill="1" applyBorder="1" applyAlignment="1">
      <alignment horizontal="right" vertical="center" wrapText="1"/>
      <protection/>
    </xf>
    <xf numFmtId="172" fontId="33" fillId="4" borderId="13" xfId="70" applyNumberFormat="1" applyFont="1" applyFill="1" applyBorder="1" applyAlignment="1">
      <alignment horizontal="right" vertical="center" wrapText="1"/>
      <protection/>
    </xf>
    <xf numFmtId="172" fontId="33" fillId="0" borderId="13" xfId="70" applyNumberFormat="1" applyFont="1" applyFill="1" applyBorder="1" applyAlignment="1">
      <alignment horizontal="right" vertical="center" wrapText="1"/>
      <protection/>
    </xf>
    <xf numFmtId="172" fontId="22" fillId="0" borderId="13" xfId="70" applyNumberFormat="1" applyFont="1" applyFill="1" applyBorder="1" applyAlignment="1">
      <alignment horizontal="right" vertical="center" wrapText="1"/>
      <protection/>
    </xf>
    <xf numFmtId="3" fontId="47" fillId="0" borderId="0" xfId="71" applyNumberFormat="1" applyFont="1" applyAlignment="1">
      <alignment wrapText="1"/>
      <protection/>
    </xf>
    <xf numFmtId="3" fontId="47" fillId="0" borderId="0" xfId="71" applyNumberFormat="1" applyFont="1" applyAlignment="1">
      <alignment horizontal="center" wrapText="1"/>
      <protection/>
    </xf>
    <xf numFmtId="3" fontId="49" fillId="0" borderId="0" xfId="71" applyNumberFormat="1" applyFont="1" applyAlignment="1">
      <alignment wrapText="1"/>
      <protection/>
    </xf>
    <xf numFmtId="3" fontId="28" fillId="0" borderId="0" xfId="72" applyNumberFormat="1" applyFont="1" applyAlignment="1">
      <alignment vertical="center" wrapText="1"/>
      <protection/>
    </xf>
    <xf numFmtId="3" fontId="28" fillId="0" borderId="23" xfId="46" applyNumberFormat="1" applyFont="1" applyFill="1" applyBorder="1" applyAlignment="1">
      <alignment horizontal="right" vertical="center" wrapText="1"/>
    </xf>
    <xf numFmtId="3" fontId="51" fillId="0" borderId="23" xfId="46" applyNumberFormat="1" applyFont="1" applyFill="1" applyBorder="1" applyAlignment="1">
      <alignment horizontal="right" vertical="center" wrapText="1"/>
    </xf>
    <xf numFmtId="3" fontId="28" fillId="0" borderId="23" xfId="46" applyNumberFormat="1" applyFont="1" applyFill="1" applyBorder="1" applyAlignment="1">
      <alignment horizontal="center" vertical="center" wrapText="1"/>
    </xf>
    <xf numFmtId="3" fontId="28" fillId="26" borderId="23" xfId="71" applyNumberFormat="1" applyFont="1" applyFill="1" applyBorder="1" applyAlignment="1">
      <alignment horizontal="right" vertical="center" wrapText="1"/>
      <protection/>
    </xf>
    <xf numFmtId="3" fontId="52" fillId="0" borderId="23" xfId="46" applyNumberFormat="1" applyFont="1" applyFill="1" applyBorder="1" applyAlignment="1">
      <alignment horizontal="right" vertical="center" wrapText="1"/>
    </xf>
    <xf numFmtId="3" fontId="28" fillId="26" borderId="23" xfId="46" applyNumberFormat="1" applyFont="1" applyFill="1" applyBorder="1" applyAlignment="1">
      <alignment horizontal="right" vertical="center" wrapText="1"/>
    </xf>
    <xf numFmtId="3" fontId="50" fillId="24" borderId="23" xfId="70" applyNumberFormat="1" applyFont="1" applyFill="1" applyBorder="1" applyAlignment="1">
      <alignment horizontal="center" vertical="center"/>
      <protection/>
    </xf>
    <xf numFmtId="3" fontId="50" fillId="24" borderId="23" xfId="70" applyNumberFormat="1" applyFont="1" applyFill="1" applyBorder="1" applyAlignment="1">
      <alignment vertical="center" wrapText="1"/>
      <protection/>
    </xf>
    <xf numFmtId="3" fontId="50" fillId="24" borderId="23" xfId="70" applyNumberFormat="1" applyFont="1" applyFill="1" applyBorder="1" applyAlignment="1">
      <alignment horizontal="center" vertical="center" wrapText="1"/>
      <protection/>
    </xf>
    <xf numFmtId="3" fontId="50" fillId="24" borderId="23" xfId="70" applyNumberFormat="1" applyFont="1" applyFill="1" applyBorder="1" applyAlignment="1">
      <alignment horizontal="right" vertical="center" wrapText="1"/>
      <protection/>
    </xf>
    <xf numFmtId="3" fontId="51" fillId="24" borderId="23" xfId="46" applyNumberFormat="1" applyFont="1" applyFill="1" applyBorder="1" applyAlignment="1">
      <alignment horizontal="right" vertical="center" wrapText="1"/>
    </xf>
    <xf numFmtId="3" fontId="53" fillId="0" borderId="0" xfId="71" applyNumberFormat="1" applyFont="1" applyAlignment="1">
      <alignment wrapText="1"/>
      <protection/>
    </xf>
    <xf numFmtId="3" fontId="50" fillId="0" borderId="23" xfId="70" applyNumberFormat="1" applyFont="1" applyFill="1" applyBorder="1" applyAlignment="1">
      <alignment horizontal="center" vertical="center"/>
      <protection/>
    </xf>
    <xf numFmtId="3" fontId="50" fillId="0" borderId="23" xfId="70" applyNumberFormat="1" applyFont="1" applyFill="1" applyBorder="1" applyAlignment="1">
      <alignment vertical="center" wrapText="1"/>
      <protection/>
    </xf>
    <xf numFmtId="3" fontId="50" fillId="0" borderId="23" xfId="70" applyNumberFormat="1" applyFont="1" applyFill="1" applyBorder="1" applyAlignment="1">
      <alignment horizontal="center" vertical="center" wrapText="1"/>
      <protection/>
    </xf>
    <xf numFmtId="3" fontId="50" fillId="0" borderId="23" xfId="70" applyNumberFormat="1" applyFont="1" applyFill="1" applyBorder="1" applyAlignment="1">
      <alignment horizontal="right" vertical="center" wrapText="1"/>
      <protection/>
    </xf>
    <xf numFmtId="3" fontId="53" fillId="0" borderId="0" xfId="71" applyNumberFormat="1" applyFont="1" applyFill="1" applyAlignment="1">
      <alignment wrapText="1"/>
      <protection/>
    </xf>
    <xf numFmtId="3" fontId="54" fillId="0" borderId="23" xfId="70" applyNumberFormat="1" applyFont="1" applyFill="1" applyBorder="1" applyAlignment="1">
      <alignment horizontal="center" vertical="center"/>
      <protection/>
    </xf>
    <xf numFmtId="3" fontId="54" fillId="0" borderId="23" xfId="70" applyNumberFormat="1" applyFont="1" applyFill="1" applyBorder="1" applyAlignment="1">
      <alignment vertical="center" wrapText="1"/>
      <protection/>
    </xf>
    <xf numFmtId="3" fontId="54" fillId="0" borderId="23" xfId="70" applyNumberFormat="1" applyFont="1" applyFill="1" applyBorder="1" applyAlignment="1">
      <alignment horizontal="center" vertical="center" wrapText="1"/>
      <protection/>
    </xf>
    <xf numFmtId="3" fontId="54" fillId="0" borderId="23" xfId="70" applyNumberFormat="1" applyFont="1" applyFill="1" applyBorder="1" applyAlignment="1">
      <alignment horizontal="right" vertical="center" wrapText="1"/>
      <protection/>
    </xf>
    <xf numFmtId="3" fontId="55" fillId="0" borderId="23" xfId="46" applyNumberFormat="1" applyFont="1" applyFill="1" applyBorder="1" applyAlignment="1">
      <alignment horizontal="right" vertical="center" wrapText="1"/>
    </xf>
    <xf numFmtId="3" fontId="30" fillId="0" borderId="23" xfId="70" applyNumberFormat="1" applyFont="1" applyFill="1" applyBorder="1" applyAlignment="1">
      <alignment horizontal="center" vertical="center"/>
      <protection/>
    </xf>
    <xf numFmtId="3" fontId="30" fillId="0" borderId="23" xfId="70" applyNumberFormat="1" applyFont="1" applyFill="1" applyBorder="1" applyAlignment="1">
      <alignment vertical="center" wrapText="1"/>
      <protection/>
    </xf>
    <xf numFmtId="3" fontId="30" fillId="0" borderId="23" xfId="70" applyNumberFormat="1" applyFont="1" applyFill="1" applyBorder="1" applyAlignment="1">
      <alignment horizontal="center" vertical="center" wrapText="1"/>
      <protection/>
    </xf>
    <xf numFmtId="3" fontId="30" fillId="0" borderId="23" xfId="70" applyNumberFormat="1" applyFont="1" applyFill="1" applyBorder="1" applyAlignment="1">
      <alignment horizontal="right" vertical="center" wrapText="1"/>
      <protection/>
    </xf>
    <xf numFmtId="3" fontId="56" fillId="0" borderId="23" xfId="46" applyNumberFormat="1" applyFont="1" applyFill="1" applyBorder="1" applyAlignment="1">
      <alignment horizontal="right" vertical="center" wrapText="1"/>
    </xf>
    <xf numFmtId="3" fontId="28" fillId="0" borderId="23" xfId="70" applyNumberFormat="1" applyFont="1" applyFill="1" applyBorder="1" applyAlignment="1">
      <alignment horizontal="center" vertical="center"/>
      <protection/>
    </xf>
    <xf numFmtId="3" fontId="28" fillId="0" borderId="23" xfId="70" applyNumberFormat="1" applyFont="1" applyFill="1" applyBorder="1" applyAlignment="1">
      <alignment vertical="center" wrapText="1"/>
      <protection/>
    </xf>
    <xf numFmtId="3" fontId="28" fillId="0" borderId="23" xfId="70" applyNumberFormat="1" applyFont="1" applyFill="1" applyBorder="1" applyAlignment="1">
      <alignment horizontal="center" vertical="center" wrapText="1"/>
      <protection/>
    </xf>
    <xf numFmtId="3" fontId="28" fillId="0" borderId="23" xfId="70" applyNumberFormat="1" applyFont="1" applyFill="1" applyBorder="1" applyAlignment="1">
      <alignment horizontal="right" vertical="center" wrapText="1"/>
      <protection/>
    </xf>
    <xf numFmtId="172" fontId="28" fillId="0" borderId="23" xfId="46" applyNumberFormat="1" applyFont="1" applyFill="1" applyBorder="1" applyAlignment="1">
      <alignment horizontal="right" vertical="center" wrapText="1"/>
    </xf>
    <xf numFmtId="3" fontId="28" fillId="26" borderId="23" xfId="71" applyNumberFormat="1" applyFont="1" applyFill="1" applyBorder="1" applyAlignment="1">
      <alignment horizontal="left" vertical="center" wrapText="1"/>
      <protection/>
    </xf>
    <xf numFmtId="3" fontId="52" fillId="26" borderId="23" xfId="46" applyNumberFormat="1" applyFont="1" applyFill="1" applyBorder="1" applyAlignment="1">
      <alignment horizontal="right" vertical="center" wrapText="1"/>
    </xf>
    <xf numFmtId="3" fontId="28" fillId="0" borderId="23" xfId="69" applyNumberFormat="1" applyFont="1" applyFill="1" applyBorder="1" applyAlignment="1">
      <alignment horizontal="left" vertical="center" wrapText="1"/>
      <protection/>
    </xf>
    <xf numFmtId="3" fontId="28" fillId="0" borderId="23" xfId="69" applyNumberFormat="1" applyFont="1" applyFill="1" applyBorder="1" applyAlignment="1">
      <alignment horizontal="right" vertical="center" wrapText="1"/>
      <protection/>
    </xf>
    <xf numFmtId="3" fontId="52" fillId="0" borderId="23" xfId="70" applyNumberFormat="1" applyFont="1" applyFill="1" applyBorder="1" applyAlignment="1">
      <alignment horizontal="right" vertical="center" wrapText="1"/>
      <protection/>
    </xf>
    <xf numFmtId="3" fontId="30" fillId="4" borderId="23" xfId="70" applyNumberFormat="1" applyFont="1" applyFill="1" applyBorder="1" applyAlignment="1">
      <alignment horizontal="center" vertical="center"/>
      <protection/>
    </xf>
    <xf numFmtId="3" fontId="30" fillId="4" borderId="23" xfId="70" applyNumberFormat="1" applyFont="1" applyFill="1" applyBorder="1" applyAlignment="1">
      <alignment vertical="center" wrapText="1"/>
      <protection/>
    </xf>
    <xf numFmtId="3" fontId="30" fillId="4" borderId="23" xfId="70" applyNumberFormat="1" applyFont="1" applyFill="1" applyBorder="1" applyAlignment="1">
      <alignment horizontal="center" vertical="center" wrapText="1"/>
      <protection/>
    </xf>
    <xf numFmtId="3" fontId="30" fillId="4" borderId="23" xfId="70" applyNumberFormat="1" applyFont="1" applyFill="1" applyBorder="1" applyAlignment="1">
      <alignment horizontal="right" vertical="center" wrapText="1"/>
      <protection/>
    </xf>
    <xf numFmtId="3" fontId="56" fillId="4" borderId="23" xfId="46" applyNumberFormat="1" applyFont="1" applyFill="1" applyBorder="1" applyAlignment="1">
      <alignment horizontal="right" vertical="center" wrapText="1"/>
    </xf>
    <xf numFmtId="3" fontId="52" fillId="0" borderId="23" xfId="69" applyNumberFormat="1" applyFont="1" applyFill="1" applyBorder="1" applyAlignment="1">
      <alignment horizontal="right" vertical="center" wrapText="1"/>
      <protection/>
    </xf>
    <xf numFmtId="3" fontId="28" fillId="0" borderId="23" xfId="69" applyNumberFormat="1" applyFont="1" applyFill="1" applyBorder="1" applyAlignment="1">
      <alignment horizontal="center" vertical="center" wrapText="1"/>
      <protection/>
    </xf>
    <xf numFmtId="3" fontId="28" fillId="0" borderId="23" xfId="70" applyNumberFormat="1" applyFont="1" applyFill="1" applyBorder="1" applyAlignment="1" quotePrefix="1">
      <alignment horizontal="center" vertical="center"/>
      <protection/>
    </xf>
    <xf numFmtId="3" fontId="28" fillId="0" borderId="23" xfId="70" applyNumberFormat="1" applyFont="1" applyFill="1" applyBorder="1" applyAlignment="1">
      <alignment horizontal="right" vertical="center"/>
      <protection/>
    </xf>
    <xf numFmtId="3" fontId="52" fillId="0" borderId="23" xfId="46" applyNumberFormat="1" applyFont="1" applyFill="1" applyBorder="1" applyAlignment="1">
      <alignment horizontal="right" vertical="center"/>
    </xf>
    <xf numFmtId="3" fontId="52" fillId="0" borderId="23" xfId="70" applyNumberFormat="1" applyFont="1" applyFill="1" applyBorder="1" applyAlignment="1">
      <alignment horizontal="right" vertical="center"/>
      <protection/>
    </xf>
    <xf numFmtId="3" fontId="28" fillId="0" borderId="24" xfId="70" applyNumberFormat="1" applyFont="1" applyFill="1" applyBorder="1" applyAlignment="1" quotePrefix="1">
      <alignment horizontal="center" vertical="center"/>
      <protection/>
    </xf>
    <xf numFmtId="3" fontId="28" fillId="0" borderId="24" xfId="70" applyNumberFormat="1" applyFont="1" applyFill="1" applyBorder="1" applyAlignment="1">
      <alignment vertical="center" wrapText="1"/>
      <protection/>
    </xf>
    <xf numFmtId="3" fontId="28" fillId="0" borderId="24" xfId="70" applyNumberFormat="1" applyFont="1" applyFill="1" applyBorder="1" applyAlignment="1">
      <alignment horizontal="center" vertical="center" wrapText="1"/>
      <protection/>
    </xf>
    <xf numFmtId="3" fontId="28" fillId="0" borderId="24" xfId="70" applyNumberFormat="1" applyFont="1" applyFill="1" applyBorder="1" applyAlignment="1">
      <alignment horizontal="right" vertical="center" wrapText="1"/>
      <protection/>
    </xf>
    <xf numFmtId="3" fontId="28" fillId="0" borderId="24" xfId="46" applyNumberFormat="1" applyFont="1" applyFill="1" applyBorder="1" applyAlignment="1">
      <alignment horizontal="right" vertical="center" wrapText="1"/>
    </xf>
    <xf numFmtId="3" fontId="52" fillId="0" borderId="24" xfId="46" applyNumberFormat="1" applyFont="1" applyFill="1" applyBorder="1" applyAlignment="1">
      <alignment horizontal="right" vertical="center" wrapText="1"/>
    </xf>
    <xf numFmtId="3" fontId="52" fillId="0" borderId="24" xfId="70" applyNumberFormat="1" applyFont="1" applyFill="1" applyBorder="1" applyAlignment="1">
      <alignment horizontal="right" vertical="center" wrapText="1"/>
      <protection/>
    </xf>
    <xf numFmtId="3" fontId="53" fillId="0" borderId="0" xfId="71" applyNumberFormat="1" applyFont="1" applyAlignment="1">
      <alignment horizontal="center" wrapText="1"/>
      <protection/>
    </xf>
    <xf numFmtId="3" fontId="57" fillId="0" borderId="0" xfId="71" applyNumberFormat="1" applyFont="1" applyAlignment="1">
      <alignment wrapText="1"/>
      <protection/>
    </xf>
    <xf numFmtId="3" fontId="58" fillId="0" borderId="0" xfId="71" applyNumberFormat="1" applyFont="1" applyAlignment="1">
      <alignment wrapText="1"/>
      <protection/>
    </xf>
    <xf numFmtId="3" fontId="58" fillId="0" borderId="0" xfId="71" applyNumberFormat="1" applyFont="1" applyAlignment="1">
      <alignment horizontal="center" wrapText="1"/>
      <protection/>
    </xf>
    <xf numFmtId="3" fontId="59" fillId="0" borderId="0" xfId="71" applyNumberFormat="1" applyFont="1" applyAlignment="1">
      <alignment wrapText="1"/>
      <protection/>
    </xf>
    <xf numFmtId="3" fontId="28" fillId="0" borderId="0" xfId="72" applyNumberFormat="1" applyFont="1" applyAlignment="1">
      <alignment horizontal="center" vertical="center" wrapText="1"/>
      <protection/>
    </xf>
    <xf numFmtId="3" fontId="53" fillId="0" borderId="0" xfId="71" applyNumberFormat="1" applyFont="1" applyFill="1" applyAlignment="1">
      <alignment horizontal="center" wrapText="1"/>
      <protection/>
    </xf>
    <xf numFmtId="9" fontId="53" fillId="0" borderId="0" xfId="87" applyFont="1" applyAlignment="1">
      <alignment horizontal="center" wrapText="1"/>
    </xf>
    <xf numFmtId="3" fontId="58" fillId="23" borderId="0" xfId="71" applyNumberFormat="1" applyFont="1" applyFill="1" applyAlignment="1">
      <alignment wrapText="1"/>
      <protection/>
    </xf>
    <xf numFmtId="3" fontId="50" fillId="23" borderId="16" xfId="72" applyNumberFormat="1" applyFont="1" applyFill="1" applyBorder="1" applyAlignment="1">
      <alignment horizontal="center" vertical="center" wrapText="1"/>
      <protection/>
    </xf>
    <xf numFmtId="3" fontId="50" fillId="23" borderId="15" xfId="72" applyNumberFormat="1" applyFont="1" applyFill="1" applyBorder="1" applyAlignment="1">
      <alignment horizontal="center" vertical="center" wrapText="1"/>
      <protection/>
    </xf>
    <xf numFmtId="3" fontId="50" fillId="23" borderId="23" xfId="70" applyNumberFormat="1" applyFont="1" applyFill="1" applyBorder="1" applyAlignment="1">
      <alignment horizontal="right" vertical="center" wrapText="1"/>
      <protection/>
    </xf>
    <xf numFmtId="3" fontId="54" fillId="23" borderId="23" xfId="70" applyNumberFormat="1" applyFont="1" applyFill="1" applyBorder="1" applyAlignment="1">
      <alignment horizontal="right" vertical="center" wrapText="1"/>
      <protection/>
    </xf>
    <xf numFmtId="3" fontId="30" fillId="23" borderId="23" xfId="70" applyNumberFormat="1" applyFont="1" applyFill="1" applyBorder="1" applyAlignment="1">
      <alignment horizontal="right" vertical="center" wrapText="1"/>
      <protection/>
    </xf>
    <xf numFmtId="3" fontId="28" fillId="23" borderId="23" xfId="46" applyNumberFormat="1" applyFont="1" applyFill="1" applyBorder="1" applyAlignment="1">
      <alignment horizontal="right" vertical="center" wrapText="1"/>
    </xf>
    <xf numFmtId="3" fontId="28" fillId="23" borderId="23" xfId="70" applyNumberFormat="1" applyFont="1" applyFill="1" applyBorder="1" applyAlignment="1">
      <alignment horizontal="right" vertical="center" wrapText="1"/>
      <protection/>
    </xf>
    <xf numFmtId="3" fontId="28" fillId="23" borderId="23" xfId="69" applyNumberFormat="1" applyFont="1" applyFill="1" applyBorder="1" applyAlignment="1">
      <alignment horizontal="right" vertical="center" wrapText="1"/>
      <protection/>
    </xf>
    <xf numFmtId="3" fontId="28" fillId="23" borderId="23" xfId="70" applyNumberFormat="1" applyFont="1" applyFill="1" applyBorder="1" applyAlignment="1">
      <alignment horizontal="right" vertical="center"/>
      <protection/>
    </xf>
    <xf numFmtId="3" fontId="28" fillId="23" borderId="24" xfId="70" applyNumberFormat="1" applyFont="1" applyFill="1" applyBorder="1" applyAlignment="1">
      <alignment horizontal="right" vertical="center" wrapText="1"/>
      <protection/>
    </xf>
    <xf numFmtId="3" fontId="53" fillId="23" borderId="0" xfId="71" applyNumberFormat="1" applyFont="1" applyFill="1" applyAlignment="1">
      <alignment wrapText="1"/>
      <protection/>
    </xf>
    <xf numFmtId="3" fontId="47" fillId="23" borderId="0" xfId="71" applyNumberFormat="1" applyFont="1" applyFill="1" applyAlignment="1">
      <alignment wrapText="1"/>
      <protection/>
    </xf>
    <xf numFmtId="3" fontId="61" fillId="0" borderId="0" xfId="71" applyNumberFormat="1" applyFont="1" applyAlignment="1">
      <alignment horizontal="center" wrapText="1"/>
      <protection/>
    </xf>
    <xf numFmtId="3" fontId="62" fillId="0" borderId="0" xfId="72" applyNumberFormat="1" applyFont="1" applyAlignment="1">
      <alignment horizontal="center" vertical="center" wrapText="1"/>
      <protection/>
    </xf>
    <xf numFmtId="3" fontId="63" fillId="0" borderId="0" xfId="71" applyNumberFormat="1" applyFont="1" applyAlignment="1">
      <alignment horizontal="center" wrapText="1"/>
      <protection/>
    </xf>
    <xf numFmtId="3" fontId="63" fillId="0" borderId="0" xfId="71" applyNumberFormat="1" applyFont="1" applyFill="1" applyAlignment="1">
      <alignment horizontal="center" wrapText="1"/>
      <protection/>
    </xf>
    <xf numFmtId="9" fontId="63" fillId="0" borderId="0" xfId="87" applyFont="1" applyAlignment="1">
      <alignment horizontal="center" wrapText="1"/>
    </xf>
    <xf numFmtId="3" fontId="64" fillId="0" borderId="0" xfId="71" applyNumberFormat="1" applyFont="1" applyAlignment="1">
      <alignment horizontal="center" wrapText="1"/>
      <protection/>
    </xf>
    <xf numFmtId="3" fontId="51" fillId="23" borderId="23" xfId="46" applyNumberFormat="1" applyFont="1" applyFill="1" applyBorder="1" applyAlignment="1">
      <alignment horizontal="right" vertical="center" wrapText="1"/>
    </xf>
    <xf numFmtId="9" fontId="45" fillId="0" borderId="0" xfId="87" applyFont="1" applyAlignment="1">
      <alignment horizontal="center" wrapText="1"/>
    </xf>
    <xf numFmtId="3" fontId="62" fillId="0" borderId="13" xfId="72" applyNumberFormat="1" applyFont="1" applyBorder="1" applyAlignment="1">
      <alignment horizontal="center" vertical="center" wrapText="1"/>
      <protection/>
    </xf>
    <xf numFmtId="3" fontId="28" fillId="0" borderId="13" xfId="72" applyNumberFormat="1" applyFont="1" applyBorder="1" applyAlignment="1">
      <alignment horizontal="center" vertical="center" wrapText="1"/>
      <protection/>
    </xf>
    <xf numFmtId="0" fontId="17" fillId="0" borderId="13" xfId="77" applyFont="1" applyFill="1" applyBorder="1" applyAlignment="1">
      <alignment horizontal="center" vertical="center" wrapText="1"/>
      <protection/>
    </xf>
    <xf numFmtId="0" fontId="24" fillId="0" borderId="13" xfId="77" applyFont="1" applyFill="1" applyBorder="1" applyAlignment="1">
      <alignment horizontal="left" vertical="center"/>
      <protection/>
    </xf>
    <xf numFmtId="3" fontId="24" fillId="0" borderId="13" xfId="77" applyNumberFormat="1" applyFont="1" applyFill="1" applyBorder="1" applyAlignment="1">
      <alignment horizontal="right" vertical="center"/>
      <protection/>
    </xf>
    <xf numFmtId="10" fontId="24" fillId="0" borderId="13" xfId="77" applyNumberFormat="1" applyFont="1" applyFill="1" applyBorder="1" applyAlignment="1">
      <alignment horizontal="right" vertical="center"/>
      <protection/>
    </xf>
    <xf numFmtId="3" fontId="17" fillId="0" borderId="13" xfId="77" applyNumberFormat="1" applyFont="1" applyFill="1" applyBorder="1" applyAlignment="1">
      <alignment horizontal="center" vertical="center" wrapText="1"/>
      <protection/>
    </xf>
    <xf numFmtId="10" fontId="17" fillId="0" borderId="13" xfId="77" applyNumberFormat="1" applyFont="1" applyFill="1" applyBorder="1" applyAlignment="1">
      <alignment horizontal="center" vertical="center" wrapText="1"/>
      <protection/>
    </xf>
    <xf numFmtId="1" fontId="24" fillId="0" borderId="13" xfId="77" applyNumberFormat="1" applyFont="1" applyFill="1" applyBorder="1" applyAlignment="1">
      <alignment horizontal="center" vertical="center"/>
      <protection/>
    </xf>
    <xf numFmtId="3" fontId="24" fillId="0" borderId="13" xfId="77" applyNumberFormat="1" applyFont="1" applyFill="1" applyBorder="1" applyAlignment="1">
      <alignment horizontal="center" vertical="center"/>
      <protection/>
    </xf>
    <xf numFmtId="0" fontId="24" fillId="0" borderId="13" xfId="77" applyNumberFormat="1" applyFont="1" applyFill="1" applyBorder="1" applyAlignment="1">
      <alignment horizontal="center" vertical="center"/>
      <protection/>
    </xf>
    <xf numFmtId="1" fontId="17" fillId="0" borderId="13" xfId="77" applyNumberFormat="1" applyFont="1" applyFill="1" applyBorder="1" applyAlignment="1">
      <alignment horizontal="center" vertical="center"/>
      <protection/>
    </xf>
    <xf numFmtId="1" fontId="17" fillId="0" borderId="13" xfId="77" applyNumberFormat="1" applyFont="1" applyFill="1" applyBorder="1" applyAlignment="1">
      <alignment horizontal="left" vertical="center"/>
      <protection/>
    </xf>
    <xf numFmtId="3" fontId="17" fillId="0" borderId="13" xfId="77" applyNumberFormat="1" applyFont="1" applyFill="1" applyBorder="1" applyAlignment="1">
      <alignment horizontal="right" vertical="center"/>
      <protection/>
    </xf>
    <xf numFmtId="10" fontId="17" fillId="0" borderId="13" xfId="77" applyNumberFormat="1" applyFont="1" applyFill="1" applyBorder="1" applyAlignment="1">
      <alignment horizontal="right" vertical="center"/>
      <protection/>
    </xf>
    <xf numFmtId="0" fontId="24" fillId="0" borderId="13" xfId="77" applyFont="1" applyFill="1" applyBorder="1" applyAlignment="1">
      <alignment horizontal="center" vertical="center"/>
      <protection/>
    </xf>
    <xf numFmtId="0" fontId="24" fillId="0" borderId="13" xfId="77" applyFont="1" applyFill="1" applyBorder="1" applyAlignment="1">
      <alignment horizontal="right" vertical="center"/>
      <protection/>
    </xf>
    <xf numFmtId="0" fontId="17" fillId="0" borderId="13" xfId="77" applyFont="1" applyFill="1" applyBorder="1" applyAlignment="1">
      <alignment horizontal="center" vertical="center"/>
      <protection/>
    </xf>
    <xf numFmtId="0" fontId="17" fillId="0" borderId="13" xfId="77" applyFont="1" applyFill="1" applyBorder="1" applyAlignment="1">
      <alignment horizontal="left" vertical="center"/>
      <protection/>
    </xf>
    <xf numFmtId="10" fontId="24" fillId="0" borderId="0" xfId="77" applyNumberFormat="1" applyFont="1" applyFill="1" applyBorder="1" applyAlignment="1">
      <alignment horizontal="right" vertical="center"/>
      <protection/>
    </xf>
    <xf numFmtId="0" fontId="24" fillId="25" borderId="13" xfId="77" applyFont="1" applyFill="1" applyBorder="1" applyAlignment="1">
      <alignment horizontal="left" vertical="center"/>
      <protection/>
    </xf>
    <xf numFmtId="3" fontId="24" fillId="25" borderId="13" xfId="77" applyNumberFormat="1" applyFont="1" applyFill="1" applyBorder="1" applyAlignment="1">
      <alignment horizontal="right" vertical="center"/>
      <protection/>
    </xf>
    <xf numFmtId="10" fontId="24" fillId="25" borderId="13" xfId="77" applyNumberFormat="1" applyFont="1" applyFill="1" applyBorder="1" applyAlignment="1">
      <alignment horizontal="right" vertical="center"/>
      <protection/>
    </xf>
    <xf numFmtId="0" fontId="23" fillId="0" borderId="13" xfId="0" applyFont="1" applyFill="1" applyBorder="1" applyAlignment="1">
      <alignment horizontal="left" vertical="center"/>
    </xf>
    <xf numFmtId="0" fontId="22" fillId="0" borderId="13" xfId="0" applyFont="1" applyFill="1" applyBorder="1" applyAlignment="1">
      <alignment vertical="center"/>
    </xf>
    <xf numFmtId="0" fontId="22" fillId="0" borderId="13" xfId="0" applyFont="1" applyBorder="1" applyAlignment="1">
      <alignment vertical="center"/>
    </xf>
    <xf numFmtId="0" fontId="22" fillId="0" borderId="13" xfId="0" applyFont="1" applyFill="1" applyBorder="1" applyAlignment="1">
      <alignment wrapText="1"/>
    </xf>
    <xf numFmtId="3" fontId="22" fillId="0" borderId="13" xfId="0" applyNumberFormat="1" applyFont="1" applyBorder="1" applyAlignment="1">
      <alignment vertical="center"/>
    </xf>
    <xf numFmtId="0" fontId="22" fillId="0" borderId="13" xfId="0" applyFont="1" applyBorder="1" applyAlignment="1">
      <alignment vertical="center"/>
    </xf>
    <xf numFmtId="3" fontId="23" fillId="0" borderId="13" xfId="36" applyNumberFormat="1" applyFont="1" applyFill="1" applyBorder="1" applyAlignment="1">
      <alignment/>
    </xf>
    <xf numFmtId="178" fontId="23" fillId="0" borderId="13" xfId="0" applyNumberFormat="1" applyFont="1" applyFill="1" applyBorder="1" applyAlignment="1">
      <alignment/>
    </xf>
    <xf numFmtId="178" fontId="23" fillId="0" borderId="13" xfId="0" applyNumberFormat="1" applyFont="1" applyBorder="1" applyAlignment="1">
      <alignment/>
    </xf>
    <xf numFmtId="0" fontId="0" fillId="0" borderId="0" xfId="0" applyFont="1" applyAlignment="1">
      <alignment vertical="center"/>
    </xf>
    <xf numFmtId="173" fontId="43" fillId="0" borderId="0" xfId="46" applyNumberFormat="1" applyFont="1" applyAlignment="1">
      <alignment vertical="center"/>
    </xf>
    <xf numFmtId="173" fontId="0" fillId="0" borderId="0" xfId="0" applyNumberFormat="1" applyFont="1" applyAlignment="1">
      <alignment vertical="center"/>
    </xf>
    <xf numFmtId="173" fontId="22" fillId="0" borderId="13" xfId="46" applyNumberFormat="1" applyFont="1" applyFill="1" applyBorder="1" applyAlignment="1">
      <alignment horizontal="right" vertical="center"/>
    </xf>
    <xf numFmtId="173" fontId="35" fillId="0" borderId="0" xfId="0" applyNumberFormat="1" applyFont="1" applyAlignment="1">
      <alignment vertical="center"/>
    </xf>
    <xf numFmtId="179" fontId="23" fillId="0" borderId="13" xfId="87" applyNumberFormat="1" applyFont="1" applyFill="1" applyBorder="1" applyAlignment="1">
      <alignment vertical="center"/>
    </xf>
    <xf numFmtId="173" fontId="23" fillId="0" borderId="13" xfId="87" applyNumberFormat="1" applyFont="1" applyFill="1" applyBorder="1" applyAlignment="1">
      <alignment vertical="center"/>
    </xf>
    <xf numFmtId="9" fontId="21" fillId="0" borderId="13" xfId="0" applyNumberFormat="1" applyFont="1" applyFill="1" applyBorder="1" applyAlignment="1">
      <alignment vertical="center"/>
    </xf>
    <xf numFmtId="0" fontId="22" fillId="0" borderId="13" xfId="0" applyFont="1" applyFill="1" applyBorder="1" applyAlignment="1">
      <alignment horizontal="center" vertical="center"/>
    </xf>
    <xf numFmtId="3" fontId="22" fillId="0" borderId="13" xfId="36" applyNumberFormat="1" applyFont="1" applyFill="1" applyBorder="1" applyAlignment="1">
      <alignment horizontal="center" vertical="center"/>
    </xf>
    <xf numFmtId="178" fontId="22" fillId="0" borderId="13" xfId="0" applyNumberFormat="1" applyFont="1" applyFill="1" applyBorder="1" applyAlignment="1">
      <alignment horizontal="center" vertical="center"/>
    </xf>
    <xf numFmtId="174" fontId="22" fillId="0" borderId="13" xfId="0" applyNumberFormat="1" applyFont="1" applyFill="1" applyBorder="1" applyAlignment="1">
      <alignment horizontal="right" vertical="center" wrapText="1"/>
    </xf>
    <xf numFmtId="178" fontId="22" fillId="0" borderId="13" xfId="0" applyNumberFormat="1" applyFont="1" applyBorder="1" applyAlignment="1">
      <alignment vertical="center"/>
    </xf>
    <xf numFmtId="1" fontId="22" fillId="0" borderId="13" xfId="85" applyNumberFormat="1" applyFont="1" applyFill="1" applyBorder="1" applyAlignment="1">
      <alignment horizontal="center" vertical="center"/>
    </xf>
    <xf numFmtId="9" fontId="22" fillId="0" borderId="13" xfId="0" applyNumberFormat="1" applyFont="1" applyFill="1" applyBorder="1" applyAlignment="1">
      <alignment horizontal="center" vertical="center"/>
    </xf>
    <xf numFmtId="0" fontId="22" fillId="0" borderId="13" xfId="0" applyFont="1" applyBorder="1" applyAlignment="1">
      <alignment horizontal="left" vertical="center"/>
    </xf>
    <xf numFmtId="178" fontId="23" fillId="0" borderId="13" xfId="0" applyNumberFormat="1" applyFont="1" applyBorder="1" applyAlignment="1">
      <alignment vertical="center"/>
    </xf>
    <xf numFmtId="0" fontId="0" fillId="0" borderId="0" xfId="0" applyFont="1" applyAlignment="1">
      <alignment horizontal="right" vertical="center"/>
    </xf>
    <xf numFmtId="0" fontId="19" fillId="0" borderId="0" xfId="74" applyAlignment="1">
      <alignment vertical="center"/>
      <protection/>
    </xf>
    <xf numFmtId="0" fontId="19" fillId="0" borderId="0" xfId="74" applyAlignment="1">
      <alignment horizontal="center" vertical="center"/>
      <protection/>
    </xf>
    <xf numFmtId="0" fontId="22" fillId="0" borderId="0" xfId="74" applyFont="1" applyAlignment="1">
      <alignment vertical="center"/>
      <protection/>
    </xf>
    <xf numFmtId="0" fontId="10" fillId="0" borderId="13" xfId="74" applyFont="1" applyBorder="1" applyAlignment="1">
      <alignment horizontal="center" vertical="center"/>
      <protection/>
    </xf>
    <xf numFmtId="0" fontId="10" fillId="0" borderId="13" xfId="74" applyFont="1" applyBorder="1" applyAlignment="1">
      <alignment horizontal="center" vertical="center" wrapText="1"/>
      <protection/>
    </xf>
    <xf numFmtId="0" fontId="10" fillId="0" borderId="13" xfId="74" applyFont="1" applyBorder="1" applyAlignment="1">
      <alignment vertical="center"/>
      <protection/>
    </xf>
    <xf numFmtId="0" fontId="45" fillId="0" borderId="13" xfId="74" applyFont="1" applyBorder="1" applyAlignment="1">
      <alignment horizontal="center" vertical="center" wrapText="1"/>
      <protection/>
    </xf>
    <xf numFmtId="49" fontId="24" fillId="0" borderId="13" xfId="46" applyNumberFormat="1" applyFont="1" applyBorder="1" applyAlignment="1">
      <alignment horizontal="right" vertical="center" wrapText="1"/>
    </xf>
    <xf numFmtId="49" fontId="24" fillId="0" borderId="13" xfId="46" applyNumberFormat="1" applyFont="1" applyBorder="1" applyAlignment="1">
      <alignment horizontal="right" vertical="center"/>
    </xf>
    <xf numFmtId="173" fontId="24" fillId="0" borderId="13" xfId="46" applyNumberFormat="1" applyFont="1" applyBorder="1" applyAlignment="1">
      <alignment horizontal="right" vertical="center"/>
    </xf>
    <xf numFmtId="0" fontId="22" fillId="0" borderId="0" xfId="77" applyFont="1" applyFill="1" applyAlignment="1">
      <alignment vertical="center"/>
      <protection/>
    </xf>
    <xf numFmtId="0" fontId="22" fillId="0" borderId="0" xfId="77" applyFont="1" applyFill="1" applyBorder="1" applyAlignment="1">
      <alignment vertical="center"/>
      <protection/>
    </xf>
    <xf numFmtId="0" fontId="17" fillId="0" borderId="0" xfId="77" applyFont="1" applyFill="1" applyAlignment="1">
      <alignment vertical="center" wrapText="1"/>
      <protection/>
    </xf>
    <xf numFmtId="0" fontId="17" fillId="0" borderId="0" xfId="77" applyFont="1" applyFill="1" applyBorder="1" applyAlignment="1">
      <alignment vertical="center" wrapText="1"/>
      <protection/>
    </xf>
    <xf numFmtId="0" fontId="17" fillId="0" borderId="0" xfId="77" applyFont="1" applyFill="1" applyAlignment="1">
      <alignment vertical="center"/>
      <protection/>
    </xf>
    <xf numFmtId="0" fontId="17" fillId="0" borderId="0" xfId="77" applyFont="1" applyFill="1" applyBorder="1" applyAlignment="1">
      <alignment vertical="center"/>
      <protection/>
    </xf>
    <xf numFmtId="0" fontId="24" fillId="0" borderId="0" xfId="77" applyFont="1" applyFill="1" applyAlignment="1">
      <alignment vertical="center"/>
      <protection/>
    </xf>
    <xf numFmtId="0" fontId="24" fillId="0" borderId="0" xfId="77" applyFont="1" applyFill="1" applyBorder="1" applyAlignment="1">
      <alignment vertical="center"/>
      <protection/>
    </xf>
    <xf numFmtId="3" fontId="24" fillId="0" borderId="0" xfId="77" applyNumberFormat="1" applyFont="1" applyFill="1" applyBorder="1" applyAlignment="1">
      <alignment vertical="center"/>
      <protection/>
    </xf>
    <xf numFmtId="0" fontId="17" fillId="0" borderId="21" xfId="77" applyFont="1" applyFill="1" applyBorder="1" applyAlignment="1">
      <alignment vertical="center"/>
      <protection/>
    </xf>
    <xf numFmtId="10" fontId="24" fillId="0" borderId="0" xfId="77" applyNumberFormat="1" applyFont="1" applyFill="1" applyBorder="1" applyAlignment="1">
      <alignment vertical="center"/>
      <protection/>
    </xf>
    <xf numFmtId="0" fontId="17" fillId="0" borderId="13" xfId="77" applyFont="1" applyFill="1" applyBorder="1" applyAlignment="1">
      <alignment vertical="center"/>
      <protection/>
    </xf>
    <xf numFmtId="0" fontId="24" fillId="0" borderId="0" xfId="77" applyFont="1" applyFill="1" applyAlignment="1">
      <alignment horizontal="center" vertical="center"/>
      <protection/>
    </xf>
    <xf numFmtId="3" fontId="24" fillId="0" borderId="0" xfId="77" applyNumberFormat="1" applyFont="1" applyFill="1" applyAlignment="1">
      <alignment horizontal="right" vertical="center"/>
      <protection/>
    </xf>
    <xf numFmtId="10" fontId="24" fillId="0" borderId="0" xfId="77" applyNumberFormat="1" applyFont="1" applyFill="1" applyAlignment="1">
      <alignment horizontal="right" vertical="center"/>
      <protection/>
    </xf>
    <xf numFmtId="0" fontId="24" fillId="0" borderId="0" xfId="77" applyFont="1" applyFill="1" applyAlignment="1">
      <alignment horizontal="right" vertical="center"/>
      <protection/>
    </xf>
    <xf numFmtId="0" fontId="0" fillId="0" borderId="0" xfId="0" applyFill="1" applyAlignment="1">
      <alignment/>
    </xf>
    <xf numFmtId="0" fontId="19" fillId="0" borderId="22" xfId="0" applyFont="1" applyFill="1" applyBorder="1" applyAlignment="1">
      <alignment/>
    </xf>
    <xf numFmtId="0" fontId="19" fillId="0" borderId="0" xfId="0" applyFont="1" applyFill="1" applyBorder="1" applyAlignment="1">
      <alignment/>
    </xf>
    <xf numFmtId="0" fontId="19" fillId="0" borderId="0" xfId="0" applyFont="1" applyFill="1" applyAlignment="1">
      <alignment/>
    </xf>
    <xf numFmtId="0" fontId="21" fillId="0" borderId="0" xfId="0" applyFont="1" applyFill="1" applyAlignment="1">
      <alignment horizontal="center"/>
    </xf>
    <xf numFmtId="0" fontId="21" fillId="0" borderId="0" xfId="0" applyFont="1" applyFill="1" applyAlignment="1">
      <alignment/>
    </xf>
    <xf numFmtId="0" fontId="21" fillId="0" borderId="14" xfId="0" applyFont="1" applyFill="1" applyBorder="1" applyAlignment="1">
      <alignment horizontal="center"/>
    </xf>
    <xf numFmtId="0" fontId="21" fillId="0" borderId="14" xfId="0" applyFont="1" applyFill="1" applyBorder="1" applyAlignment="1">
      <alignment/>
    </xf>
    <xf numFmtId="0" fontId="19" fillId="0" borderId="14" xfId="0" applyFont="1" applyFill="1" applyBorder="1" applyAlignment="1">
      <alignment horizontal="center"/>
    </xf>
    <xf numFmtId="0" fontId="19" fillId="0" borderId="10" xfId="0" applyFont="1" applyFill="1" applyBorder="1" applyAlignment="1">
      <alignment horizontal="center"/>
    </xf>
    <xf numFmtId="0" fontId="19" fillId="0" borderId="10" xfId="0" applyFont="1" applyFill="1" applyBorder="1" applyAlignment="1">
      <alignment/>
    </xf>
    <xf numFmtId="3" fontId="19" fillId="0" borderId="0" xfId="0" applyNumberFormat="1" applyFont="1" applyFill="1" applyAlignment="1">
      <alignment/>
    </xf>
    <xf numFmtId="9" fontId="19" fillId="0" borderId="0" xfId="87" applyFont="1" applyFill="1" applyAlignment="1">
      <alignment/>
    </xf>
    <xf numFmtId="4" fontId="19" fillId="0" borderId="10" xfId="0" applyNumberFormat="1" applyFont="1" applyFill="1" applyBorder="1" applyAlignment="1">
      <alignment/>
    </xf>
    <xf numFmtId="0" fontId="37" fillId="0" borderId="10" xfId="0" applyFont="1" applyFill="1" applyBorder="1" applyAlignment="1">
      <alignment horizontal="center"/>
    </xf>
    <xf numFmtId="0" fontId="37" fillId="0" borderId="10" xfId="0" applyFont="1" applyFill="1" applyBorder="1" applyAlignment="1">
      <alignment/>
    </xf>
    <xf numFmtId="4" fontId="38" fillId="0" borderId="10" xfId="0" applyNumberFormat="1" applyFont="1" applyFill="1" applyBorder="1" applyAlignment="1">
      <alignment vertical="center"/>
    </xf>
    <xf numFmtId="3" fontId="37" fillId="0" borderId="10" xfId="0" applyNumberFormat="1" applyFont="1" applyFill="1" applyBorder="1" applyAlignment="1">
      <alignment/>
    </xf>
    <xf numFmtId="3" fontId="37" fillId="0" borderId="0" xfId="0" applyNumberFormat="1" applyFont="1" applyFill="1" applyBorder="1" applyAlignment="1">
      <alignment/>
    </xf>
    <xf numFmtId="0" fontId="37" fillId="0" borderId="0" xfId="0" applyFont="1" applyFill="1" applyAlignment="1">
      <alignment/>
    </xf>
    <xf numFmtId="0" fontId="38" fillId="0" borderId="10" xfId="0" applyFont="1" applyFill="1" applyBorder="1" applyAlignment="1">
      <alignment vertical="center"/>
    </xf>
    <xf numFmtId="171" fontId="19" fillId="0" borderId="10" xfId="0" applyNumberFormat="1" applyFont="1" applyFill="1" applyBorder="1" applyAlignment="1">
      <alignment/>
    </xf>
    <xf numFmtId="0" fontId="19" fillId="0" borderId="11" xfId="0" applyFont="1" applyFill="1" applyBorder="1" applyAlignment="1">
      <alignment horizontal="center"/>
    </xf>
    <xf numFmtId="0" fontId="19" fillId="0" borderId="11" xfId="0" applyFont="1" applyFill="1" applyBorder="1" applyAlignment="1">
      <alignment/>
    </xf>
    <xf numFmtId="4" fontId="19" fillId="0" borderId="11" xfId="0" applyNumberFormat="1" applyFont="1" applyFill="1" applyBorder="1" applyAlignment="1">
      <alignment/>
    </xf>
    <xf numFmtId="171" fontId="19" fillId="0" borderId="11" xfId="0" applyNumberFormat="1" applyFont="1" applyFill="1" applyBorder="1" applyAlignment="1">
      <alignment/>
    </xf>
    <xf numFmtId="0" fontId="37" fillId="0" borderId="18" xfId="0" applyFont="1" applyFill="1" applyBorder="1" applyAlignment="1">
      <alignment horizontal="center"/>
    </xf>
    <xf numFmtId="0" fontId="37" fillId="0" borderId="18" xfId="0" applyFont="1" applyFill="1" applyBorder="1" applyAlignment="1">
      <alignment/>
    </xf>
    <xf numFmtId="4" fontId="37" fillId="0" borderId="18" xfId="0" applyNumberFormat="1" applyFont="1" applyFill="1" applyBorder="1" applyAlignment="1">
      <alignment/>
    </xf>
    <xf numFmtId="0" fontId="37" fillId="0" borderId="0" xfId="0" applyFont="1" applyFill="1" applyBorder="1" applyAlignment="1">
      <alignment/>
    </xf>
    <xf numFmtId="0" fontId="37" fillId="0" borderId="11" xfId="0" applyFont="1" applyFill="1" applyBorder="1" applyAlignment="1">
      <alignment horizontal="center"/>
    </xf>
    <xf numFmtId="0" fontId="37" fillId="0" borderId="11" xfId="0" applyFont="1" applyFill="1" applyBorder="1" applyAlignment="1">
      <alignment/>
    </xf>
    <xf numFmtId="4" fontId="37" fillId="0" borderId="11" xfId="0" applyNumberFormat="1" applyFont="1" applyFill="1" applyBorder="1" applyAlignment="1">
      <alignment/>
    </xf>
    <xf numFmtId="0" fontId="21" fillId="0" borderId="18" xfId="0" applyFont="1" applyFill="1" applyBorder="1" applyAlignment="1">
      <alignment horizontal="center"/>
    </xf>
    <xf numFmtId="0" fontId="21" fillId="0" borderId="18" xfId="0" applyFont="1" applyFill="1" applyBorder="1" applyAlignment="1">
      <alignment/>
    </xf>
    <xf numFmtId="0" fontId="19" fillId="0" borderId="18" xfId="0" applyFont="1" applyFill="1" applyBorder="1" applyAlignment="1">
      <alignment horizontal="center"/>
    </xf>
    <xf numFmtId="4" fontId="19" fillId="0" borderId="18" xfId="0" applyNumberFormat="1" applyFont="1" applyFill="1" applyBorder="1" applyAlignment="1">
      <alignment/>
    </xf>
    <xf numFmtId="0" fontId="19" fillId="0" borderId="18" xfId="0" applyFont="1" applyFill="1" applyBorder="1" applyAlignment="1">
      <alignment/>
    </xf>
    <xf numFmtId="0" fontId="39" fillId="0" borderId="18" xfId="0" applyFont="1" applyFill="1" applyBorder="1" applyAlignment="1">
      <alignment horizontal="center"/>
    </xf>
    <xf numFmtId="0" fontId="39" fillId="0" borderId="18" xfId="0" applyFont="1" applyFill="1" applyBorder="1" applyAlignment="1">
      <alignment/>
    </xf>
    <xf numFmtId="3" fontId="39" fillId="0" borderId="18" xfId="0" applyNumberFormat="1" applyFont="1" applyFill="1" applyBorder="1" applyAlignment="1">
      <alignment/>
    </xf>
    <xf numFmtId="4" fontId="39" fillId="0" borderId="18" xfId="0" applyNumberFormat="1" applyFont="1" applyFill="1" applyBorder="1" applyAlignment="1">
      <alignment/>
    </xf>
    <xf numFmtId="0" fontId="39" fillId="0" borderId="0" xfId="0" applyFont="1" applyFill="1" applyBorder="1" applyAlignment="1">
      <alignment/>
    </xf>
    <xf numFmtId="4" fontId="39" fillId="0" borderId="0" xfId="0" applyNumberFormat="1" applyFont="1" applyFill="1" applyAlignment="1">
      <alignment/>
    </xf>
    <xf numFmtId="0" fontId="39" fillId="0" borderId="0" xfId="0" applyFont="1" applyFill="1" applyAlignment="1">
      <alignment/>
    </xf>
    <xf numFmtId="0" fontId="39" fillId="0" borderId="11" xfId="0" applyFont="1" applyFill="1" applyBorder="1" applyAlignment="1">
      <alignment horizontal="center"/>
    </xf>
    <xf numFmtId="0" fontId="39" fillId="0" borderId="11" xfId="0" applyFont="1" applyFill="1" applyBorder="1" applyAlignment="1">
      <alignment/>
    </xf>
    <xf numFmtId="3" fontId="39" fillId="0" borderId="11" xfId="0" applyNumberFormat="1" applyFont="1" applyFill="1" applyBorder="1" applyAlignment="1">
      <alignment/>
    </xf>
    <xf numFmtId="4" fontId="39" fillId="0" borderId="11" xfId="0" applyNumberFormat="1" applyFont="1" applyFill="1" applyBorder="1" applyAlignment="1">
      <alignment/>
    </xf>
    <xf numFmtId="0" fontId="21" fillId="0" borderId="18" xfId="0" applyFont="1" applyFill="1" applyBorder="1" applyAlignment="1">
      <alignment wrapText="1"/>
    </xf>
    <xf numFmtId="3" fontId="19" fillId="0" borderId="18" xfId="0" applyNumberFormat="1" applyFont="1" applyFill="1" applyBorder="1" applyAlignment="1">
      <alignment/>
    </xf>
    <xf numFmtId="0" fontId="21" fillId="0" borderId="10" xfId="0" applyFont="1" applyFill="1" applyBorder="1" applyAlignment="1">
      <alignment horizontal="center"/>
    </xf>
    <xf numFmtId="0" fontId="21" fillId="0" borderId="10" xfId="0" applyFont="1" applyFill="1" applyBorder="1" applyAlignment="1">
      <alignment/>
    </xf>
    <xf numFmtId="4" fontId="21" fillId="0" borderId="10" xfId="0" applyNumberFormat="1" applyFont="1" applyFill="1" applyBorder="1" applyAlignment="1">
      <alignment/>
    </xf>
    <xf numFmtId="179" fontId="19" fillId="0" borderId="0" xfId="87" applyNumberFormat="1" applyFont="1" applyFill="1" applyAlignment="1">
      <alignment/>
    </xf>
    <xf numFmtId="10" fontId="19" fillId="0" borderId="10" xfId="87" applyNumberFormat="1" applyFont="1" applyFill="1" applyBorder="1" applyAlignment="1">
      <alignment/>
    </xf>
    <xf numFmtId="10" fontId="19" fillId="0" borderId="10" xfId="46" applyNumberFormat="1" applyFont="1" applyFill="1" applyBorder="1" applyAlignment="1">
      <alignment/>
    </xf>
    <xf numFmtId="2" fontId="21" fillId="0" borderId="0" xfId="0" applyNumberFormat="1" applyFont="1" applyFill="1" applyAlignment="1">
      <alignment/>
    </xf>
    <xf numFmtId="1" fontId="19" fillId="0" borderId="10" xfId="0" applyNumberFormat="1" applyFont="1" applyFill="1" applyBorder="1" applyAlignment="1">
      <alignment/>
    </xf>
    <xf numFmtId="0" fontId="19" fillId="0" borderId="10" xfId="0" applyFont="1" applyFill="1" applyBorder="1" applyAlignment="1">
      <alignment vertical="center" wrapText="1"/>
    </xf>
    <xf numFmtId="3" fontId="19" fillId="0" borderId="10" xfId="0" applyNumberFormat="1" applyFont="1" applyFill="1" applyBorder="1" applyAlignment="1">
      <alignment horizontal="right" vertical="center" wrapText="1"/>
    </xf>
    <xf numFmtId="4" fontId="19" fillId="0" borderId="0" xfId="0" applyNumberFormat="1" applyFont="1" applyFill="1" applyAlignment="1">
      <alignment/>
    </xf>
    <xf numFmtId="0" fontId="19" fillId="0" borderId="11" xfId="0" applyFont="1" applyFill="1" applyBorder="1" applyAlignment="1">
      <alignment vertical="center" wrapText="1"/>
    </xf>
    <xf numFmtId="4" fontId="19" fillId="0" borderId="11" xfId="0" applyNumberFormat="1" applyFont="1" applyFill="1" applyBorder="1" applyAlignment="1">
      <alignment horizontal="right" vertical="center" wrapText="1"/>
    </xf>
    <xf numFmtId="0" fontId="40" fillId="0" borderId="0" xfId="0" applyFont="1" applyFill="1" applyAlignment="1">
      <alignment/>
    </xf>
    <xf numFmtId="171" fontId="37" fillId="0" borderId="10" xfId="46" applyFont="1" applyFill="1" applyBorder="1" applyAlignment="1">
      <alignment/>
    </xf>
    <xf numFmtId="171" fontId="37" fillId="0" borderId="11" xfId="46" applyFont="1" applyFill="1" applyBorder="1" applyAlignment="1">
      <alignment/>
    </xf>
    <xf numFmtId="178" fontId="37" fillId="0" borderId="11" xfId="0" applyNumberFormat="1" applyFont="1" applyFill="1" applyBorder="1" applyAlignment="1">
      <alignment/>
    </xf>
    <xf numFmtId="10" fontId="37" fillId="0" borderId="10" xfId="87" applyNumberFormat="1" applyFont="1" applyFill="1" applyBorder="1" applyAlignment="1">
      <alignment/>
    </xf>
    <xf numFmtId="2" fontId="37" fillId="0" borderId="11" xfId="0" applyNumberFormat="1" applyFont="1" applyFill="1" applyBorder="1" applyAlignment="1">
      <alignment/>
    </xf>
    <xf numFmtId="0" fontId="24" fillId="0" borderId="13" xfId="74" applyFont="1" applyBorder="1" applyAlignment="1">
      <alignment horizontal="center" vertical="center"/>
      <protection/>
    </xf>
    <xf numFmtId="49" fontId="24" fillId="0" borderId="13" xfId="74" applyNumberFormat="1" applyFont="1" applyBorder="1" applyAlignment="1">
      <alignment horizontal="center" vertical="center"/>
      <protection/>
    </xf>
    <xf numFmtId="0" fontId="22" fillId="0" borderId="0" xfId="74" applyFont="1" applyFill="1" applyAlignment="1">
      <alignment vertical="center"/>
      <protection/>
    </xf>
    <xf numFmtId="0" fontId="19" fillId="0" borderId="0" xfId="74" applyFill="1" applyAlignment="1">
      <alignment vertical="center"/>
      <protection/>
    </xf>
    <xf numFmtId="0" fontId="6" fillId="0" borderId="13" xfId="74" applyFont="1" applyFill="1" applyBorder="1" applyAlignment="1">
      <alignment horizontal="center" vertical="center" wrapText="1"/>
      <protection/>
    </xf>
    <xf numFmtId="0" fontId="19" fillId="0" borderId="0" xfId="0" applyFont="1" applyAlignment="1">
      <alignment vertical="center"/>
    </xf>
    <xf numFmtId="173" fontId="19" fillId="0" borderId="0" xfId="0" applyNumberFormat="1" applyFont="1" applyAlignment="1">
      <alignment vertical="center"/>
    </xf>
    <xf numFmtId="0" fontId="22" fillId="0" borderId="0" xfId="0" applyFont="1" applyAlignment="1">
      <alignment vertical="center"/>
    </xf>
    <xf numFmtId="0" fontId="19" fillId="0" borderId="0" xfId="0" applyFont="1" applyAlignment="1">
      <alignment horizontal="right" vertical="center"/>
    </xf>
    <xf numFmtId="0" fontId="22" fillId="0" borderId="0" xfId="0" applyFont="1" applyAlignment="1">
      <alignment horizontal="center" vertical="center"/>
    </xf>
    <xf numFmtId="0" fontId="24" fillId="0" borderId="0" xfId="74" applyFont="1" applyFill="1" applyAlignment="1">
      <alignment vertical="center"/>
      <protection/>
    </xf>
    <xf numFmtId="0" fontId="24" fillId="0" borderId="13" xfId="74" applyFont="1" applyFill="1" applyBorder="1" applyAlignment="1">
      <alignment horizontal="center" vertical="center" wrapText="1"/>
      <protection/>
    </xf>
    <xf numFmtId="0" fontId="24" fillId="0" borderId="13" xfId="74" applyFont="1" applyFill="1" applyBorder="1" applyAlignment="1">
      <alignment horizontal="center" vertical="center"/>
      <protection/>
    </xf>
    <xf numFmtId="3" fontId="24" fillId="0" borderId="13" xfId="74" applyNumberFormat="1" applyFont="1" applyFill="1" applyBorder="1" applyAlignment="1">
      <alignment horizontal="center" vertical="center"/>
      <protection/>
    </xf>
    <xf numFmtId="49" fontId="24" fillId="0" borderId="13" xfId="46" applyNumberFormat="1" applyFont="1" applyFill="1" applyBorder="1" applyAlignment="1">
      <alignment horizontal="right" vertical="center"/>
    </xf>
    <xf numFmtId="0" fontId="24" fillId="0" borderId="0" xfId="74" applyFont="1" applyFill="1" applyAlignment="1">
      <alignment horizontal="center" vertical="center"/>
      <protection/>
    </xf>
    <xf numFmtId="3" fontId="24" fillId="0" borderId="0" xfId="74" applyNumberFormat="1" applyFont="1" applyFill="1" applyBorder="1" applyAlignment="1">
      <alignment horizontal="center" vertical="center"/>
      <protection/>
    </xf>
    <xf numFmtId="0" fontId="24" fillId="0" borderId="13" xfId="0" applyFont="1" applyFill="1" applyBorder="1" applyAlignment="1">
      <alignment horizontal="center" vertical="center" wrapText="1"/>
    </xf>
    <xf numFmtId="0" fontId="24" fillId="25" borderId="13" xfId="77" applyFont="1" applyFill="1" applyBorder="1" applyAlignment="1">
      <alignment horizontal="center" vertical="center"/>
      <protection/>
    </xf>
    <xf numFmtId="0" fontId="24" fillId="25" borderId="0" xfId="77" applyFont="1" applyFill="1" applyAlignment="1">
      <alignment vertical="center"/>
      <protection/>
    </xf>
    <xf numFmtId="10" fontId="24" fillId="25" borderId="0" xfId="77" applyNumberFormat="1" applyFont="1" applyFill="1" applyBorder="1" applyAlignment="1">
      <alignment horizontal="right" vertical="center"/>
      <protection/>
    </xf>
    <xf numFmtId="0" fontId="24" fillId="25" borderId="0" xfId="77" applyFont="1" applyFill="1" applyBorder="1" applyAlignment="1">
      <alignment vertical="center"/>
      <protection/>
    </xf>
    <xf numFmtId="177" fontId="10" fillId="0" borderId="13" xfId="46" applyNumberFormat="1" applyFont="1" applyFill="1" applyBorder="1" applyAlignment="1">
      <alignment horizontal="center" vertical="center" wrapText="1"/>
    </xf>
    <xf numFmtId="1" fontId="24" fillId="0" borderId="13" xfId="74" applyNumberFormat="1" applyFont="1" applyFill="1" applyBorder="1" applyAlignment="1">
      <alignment horizontal="center" vertical="center"/>
      <protection/>
    </xf>
    <xf numFmtId="0" fontId="24" fillId="0" borderId="0" xfId="74" applyFont="1" applyFill="1" applyBorder="1" applyAlignment="1">
      <alignment horizontal="center" vertical="center"/>
      <protection/>
    </xf>
    <xf numFmtId="0" fontId="24" fillId="0" borderId="0" xfId="74" applyFont="1" applyFill="1" applyAlignment="1">
      <alignment horizontal="left" vertical="center" wrapText="1"/>
      <protection/>
    </xf>
    <xf numFmtId="0" fontId="10" fillId="0" borderId="13" xfId="68" applyFont="1" applyFill="1" applyBorder="1" applyAlignment="1">
      <alignment horizontal="center" vertical="center" wrapText="1"/>
      <protection/>
    </xf>
    <xf numFmtId="172" fontId="10" fillId="0" borderId="13" xfId="70" applyNumberFormat="1" applyFont="1" applyFill="1" applyBorder="1" applyAlignment="1" quotePrefix="1">
      <alignment horizontal="center" vertical="center" wrapText="1"/>
      <protection/>
    </xf>
    <xf numFmtId="177" fontId="10" fillId="0" borderId="13" xfId="46" applyNumberFormat="1" applyFont="1" applyFill="1" applyBorder="1" applyAlignment="1">
      <alignment vertical="center" wrapText="1"/>
    </xf>
    <xf numFmtId="177" fontId="10" fillId="0" borderId="13" xfId="46" applyNumberFormat="1" applyFont="1" applyFill="1" applyBorder="1" applyAlignment="1">
      <alignment horizontal="left" vertical="center" wrapText="1"/>
    </xf>
    <xf numFmtId="172" fontId="11" fillId="0" borderId="13" xfId="70" applyNumberFormat="1" applyFont="1" applyFill="1" applyBorder="1" applyAlignment="1">
      <alignment horizontal="right" vertical="center"/>
      <protection/>
    </xf>
    <xf numFmtId="172" fontId="10" fillId="0" borderId="13" xfId="70" applyNumberFormat="1" applyFont="1" applyFill="1" applyBorder="1" applyAlignment="1">
      <alignment horizontal="right" vertical="center"/>
      <protection/>
    </xf>
    <xf numFmtId="0" fontId="10" fillId="0" borderId="13" xfId="0" applyFont="1" applyFill="1" applyBorder="1" applyAlignment="1">
      <alignment horizontal="left" vertical="center" wrapText="1"/>
    </xf>
    <xf numFmtId="172" fontId="10" fillId="0" borderId="13" xfId="70" applyNumberFormat="1" applyFont="1" applyFill="1" applyBorder="1" applyAlignment="1">
      <alignment horizontal="center" vertical="center" wrapText="1"/>
      <protection/>
    </xf>
    <xf numFmtId="173" fontId="89" fillId="0" borderId="13" xfId="46" applyNumberFormat="1" applyFont="1" applyFill="1" applyBorder="1" applyAlignment="1">
      <alignment horizontal="right" vertical="center"/>
    </xf>
    <xf numFmtId="16" fontId="90" fillId="26"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wrapText="1"/>
    </xf>
    <xf numFmtId="172" fontId="10" fillId="0" borderId="13" xfId="70" applyNumberFormat="1" applyFont="1" applyFill="1" applyBorder="1" applyAlignment="1">
      <alignment vertical="center" wrapText="1"/>
      <protection/>
    </xf>
    <xf numFmtId="173" fontId="28" fillId="0" borderId="13" xfId="46" applyNumberFormat="1" applyFont="1" applyFill="1" applyBorder="1" applyAlignment="1">
      <alignment horizontal="right" vertical="center"/>
    </xf>
    <xf numFmtId="3" fontId="28" fillId="26" borderId="13" xfId="0" applyNumberFormat="1" applyFont="1" applyFill="1" applyBorder="1" applyAlignment="1">
      <alignment horizontal="center" vertical="center" wrapText="1"/>
    </xf>
    <xf numFmtId="171" fontId="37" fillId="0" borderId="11" xfId="0" applyNumberFormat="1" applyFont="1" applyFill="1" applyBorder="1" applyAlignment="1">
      <alignment/>
    </xf>
    <xf numFmtId="0" fontId="22" fillId="0" borderId="13" xfId="0" applyFont="1" applyFill="1" applyBorder="1" applyAlignment="1">
      <alignment horizontal="left" vertical="center"/>
    </xf>
    <xf numFmtId="0" fontId="22" fillId="0" borderId="13" xfId="0" applyFont="1" applyFill="1" applyBorder="1" applyAlignment="1">
      <alignment horizontal="left" wrapText="1"/>
    </xf>
    <xf numFmtId="3" fontId="22" fillId="0" borderId="13" xfId="36" applyNumberFormat="1" applyFont="1" applyFill="1" applyBorder="1" applyAlignment="1">
      <alignment horizontal="center"/>
    </xf>
    <xf numFmtId="0" fontId="22" fillId="0" borderId="13" xfId="0" applyFont="1" applyFill="1" applyBorder="1" applyAlignment="1">
      <alignment horizontal="center"/>
    </xf>
    <xf numFmtId="0" fontId="22" fillId="0" borderId="13" xfId="0" applyFont="1" applyBorder="1" applyAlignment="1">
      <alignment horizontal="left"/>
    </xf>
    <xf numFmtId="0" fontId="34" fillId="0" borderId="13" xfId="0" applyFont="1" applyFill="1" applyBorder="1" applyAlignment="1">
      <alignment horizontal="left" wrapText="1"/>
    </xf>
    <xf numFmtId="3" fontId="22" fillId="0" borderId="13" xfId="76" applyNumberFormat="1" applyFont="1" applyFill="1" applyBorder="1" applyAlignment="1">
      <alignment horizontal="right"/>
      <protection/>
    </xf>
    <xf numFmtId="3" fontId="88" fillId="0" borderId="13" xfId="46" applyNumberFormat="1" applyFont="1" applyFill="1" applyBorder="1" applyAlignment="1">
      <alignment horizontal="right" vertical="center"/>
    </xf>
    <xf numFmtId="3" fontId="88" fillId="0" borderId="13" xfId="46" applyNumberFormat="1" applyFont="1" applyFill="1" applyBorder="1" applyAlignment="1">
      <alignment vertical="center"/>
    </xf>
    <xf numFmtId="3" fontId="22" fillId="0" borderId="13" xfId="46" applyNumberFormat="1" applyFont="1" applyFill="1" applyBorder="1" applyAlignment="1">
      <alignment horizontal="right" vertical="center"/>
    </xf>
    <xf numFmtId="3" fontId="88" fillId="0" borderId="13" xfId="0" applyNumberFormat="1" applyFont="1" applyFill="1" applyBorder="1" applyAlignment="1">
      <alignment horizontal="right" wrapText="1"/>
    </xf>
    <xf numFmtId="3" fontId="88" fillId="0" borderId="13" xfId="0" applyNumberFormat="1" applyFont="1" applyFill="1" applyBorder="1" applyAlignment="1">
      <alignment horizontal="right" vertical="top" wrapText="1"/>
    </xf>
    <xf numFmtId="3" fontId="88" fillId="0" borderId="13" xfId="0" applyNumberFormat="1" applyFont="1" applyFill="1" applyBorder="1" applyAlignment="1">
      <alignment horizontal="right" vertical="center"/>
    </xf>
    <xf numFmtId="3" fontId="88" fillId="0" borderId="13" xfId="0" applyNumberFormat="1" applyFont="1" applyBorder="1" applyAlignment="1">
      <alignment vertical="center"/>
    </xf>
    <xf numFmtId="3" fontId="88" fillId="0" borderId="13" xfId="0" applyNumberFormat="1" applyFont="1" applyBorder="1" applyAlignment="1">
      <alignment horizontal="right" vertical="center"/>
    </xf>
    <xf numFmtId="3" fontId="22" fillId="0" borderId="13" xfId="0" applyNumberFormat="1" applyFont="1" applyBorder="1" applyAlignment="1">
      <alignment horizontal="right"/>
    </xf>
    <xf numFmtId="3" fontId="22" fillId="0" borderId="13" xfId="46" applyNumberFormat="1" applyFont="1" applyFill="1" applyBorder="1" applyAlignment="1">
      <alignment vertical="center"/>
    </xf>
    <xf numFmtId="3" fontId="0" fillId="0" borderId="0" xfId="0" applyNumberFormat="1" applyFont="1" applyAlignment="1">
      <alignment vertical="center"/>
    </xf>
    <xf numFmtId="3" fontId="22" fillId="0" borderId="13" xfId="0" applyNumberFormat="1" applyFont="1" applyFill="1" applyBorder="1" applyAlignment="1">
      <alignment horizontal="center" vertical="center" wrapText="1"/>
    </xf>
    <xf numFmtId="3" fontId="22" fillId="0" borderId="13" xfId="0" applyNumberFormat="1" applyFont="1" applyFill="1" applyBorder="1" applyAlignment="1">
      <alignment vertical="center"/>
    </xf>
    <xf numFmtId="3" fontId="34" fillId="0" borderId="13" xfId="0" applyNumberFormat="1" applyFont="1" applyFill="1" applyBorder="1" applyAlignment="1">
      <alignment horizontal="right" wrapText="1"/>
    </xf>
    <xf numFmtId="3" fontId="19" fillId="0" borderId="0" xfId="0" applyNumberFormat="1" applyFont="1" applyBorder="1" applyAlignment="1">
      <alignment horizontal="justify" vertical="center"/>
    </xf>
    <xf numFmtId="3" fontId="22" fillId="0" borderId="13" xfId="0" applyNumberFormat="1" applyFont="1" applyFill="1" applyBorder="1" applyAlignment="1">
      <alignment horizontal="right" vertical="top" wrapText="1"/>
    </xf>
    <xf numFmtId="3" fontId="22" fillId="0" borderId="13" xfId="46" applyNumberFormat="1" applyFont="1" applyFill="1" applyBorder="1" applyAlignment="1">
      <alignment horizontal="right" vertical="center"/>
    </xf>
    <xf numFmtId="3" fontId="22" fillId="0" borderId="13" xfId="46" applyNumberFormat="1" applyFont="1" applyBorder="1" applyAlignment="1">
      <alignment horizontal="right" vertical="center"/>
    </xf>
    <xf numFmtId="3" fontId="22" fillId="0" borderId="13" xfId="46" applyNumberFormat="1" applyFont="1" applyBorder="1" applyAlignment="1">
      <alignment horizontal="right" vertical="center"/>
    </xf>
    <xf numFmtId="177" fontId="0" fillId="0" borderId="0" xfId="0" applyNumberFormat="1" applyFont="1" applyAlignment="1">
      <alignment vertical="center"/>
    </xf>
    <xf numFmtId="1" fontId="52" fillId="0" borderId="13" xfId="70" applyNumberFormat="1" applyFont="1" applyFill="1" applyBorder="1" applyAlignment="1">
      <alignment horizontal="center" vertical="center"/>
      <protection/>
    </xf>
    <xf numFmtId="0" fontId="52" fillId="26" borderId="10" xfId="0" applyFont="1" applyFill="1" applyBorder="1" applyAlignment="1">
      <alignment horizontal="left" vertical="center" wrapText="1"/>
    </xf>
    <xf numFmtId="1" fontId="52" fillId="0" borderId="13" xfId="70" applyNumberFormat="1" applyFont="1" applyFill="1" applyBorder="1" applyAlignment="1">
      <alignment horizontal="center" vertical="center" wrapText="1"/>
      <protection/>
    </xf>
    <xf numFmtId="1" fontId="55" fillId="0" borderId="13" xfId="70" applyNumberFormat="1" applyFont="1" applyFill="1" applyBorder="1" applyAlignment="1">
      <alignment horizontal="center" vertical="center" wrapText="1"/>
      <protection/>
    </xf>
    <xf numFmtId="172" fontId="52" fillId="0" borderId="13" xfId="70" applyNumberFormat="1" applyFont="1" applyFill="1" applyBorder="1" applyAlignment="1">
      <alignment horizontal="center" vertical="center" wrapText="1"/>
      <protection/>
    </xf>
    <xf numFmtId="177" fontId="52" fillId="0" borderId="13" xfId="46" applyNumberFormat="1" applyFont="1" applyFill="1" applyBorder="1" applyAlignment="1">
      <alignment vertical="center" wrapText="1"/>
    </xf>
    <xf numFmtId="173" fontId="52" fillId="0" borderId="13" xfId="46" applyNumberFormat="1" applyFont="1" applyFill="1" applyBorder="1" applyAlignment="1">
      <alignment horizontal="right" vertical="center"/>
    </xf>
    <xf numFmtId="3" fontId="52" fillId="0" borderId="13" xfId="70" applyNumberFormat="1" applyFont="1" applyFill="1" applyBorder="1" applyAlignment="1">
      <alignment horizontal="right" vertical="center"/>
      <protection/>
    </xf>
    <xf numFmtId="3" fontId="52" fillId="0" borderId="13" xfId="70" applyNumberFormat="1" applyFont="1" applyFill="1" applyBorder="1" applyAlignment="1">
      <alignment horizontal="right" vertical="center" wrapText="1"/>
      <protection/>
    </xf>
    <xf numFmtId="172" fontId="52" fillId="0" borderId="13" xfId="70" applyNumberFormat="1" applyFont="1" applyFill="1" applyBorder="1" applyAlignment="1">
      <alignment horizontal="right" vertical="center"/>
      <protection/>
    </xf>
    <xf numFmtId="1" fontId="55" fillId="0" borderId="13" xfId="70" applyNumberFormat="1" applyFont="1" applyFill="1" applyBorder="1" applyAlignment="1">
      <alignment horizontal="right" vertical="center"/>
      <protection/>
    </xf>
    <xf numFmtId="1" fontId="55" fillId="0" borderId="0" xfId="70" applyNumberFormat="1" applyFont="1" applyFill="1" applyAlignment="1">
      <alignment vertical="center"/>
      <protection/>
    </xf>
    <xf numFmtId="1" fontId="56" fillId="0" borderId="13" xfId="70" applyNumberFormat="1" applyFont="1" applyFill="1" applyBorder="1" applyAlignment="1">
      <alignment horizontal="center" vertical="center"/>
      <protection/>
    </xf>
    <xf numFmtId="0" fontId="56" fillId="0" borderId="13" xfId="76" applyFont="1" applyFill="1" applyBorder="1" applyAlignment="1">
      <alignment vertical="center" wrapText="1"/>
      <protection/>
    </xf>
    <xf numFmtId="0" fontId="56" fillId="0" borderId="13" xfId="76" applyFont="1" applyFill="1" applyBorder="1" applyAlignment="1">
      <alignment horizontal="center" vertical="center" wrapText="1"/>
      <protection/>
    </xf>
    <xf numFmtId="1" fontId="56" fillId="0" borderId="13" xfId="70" applyNumberFormat="1" applyFont="1" applyFill="1" applyBorder="1" applyAlignment="1">
      <alignment horizontal="center" vertical="center" wrapText="1"/>
      <protection/>
    </xf>
    <xf numFmtId="3" fontId="56" fillId="0" borderId="13" xfId="70" applyNumberFormat="1" applyFont="1" applyFill="1" applyBorder="1" applyAlignment="1">
      <alignment horizontal="right" vertical="center"/>
      <protection/>
    </xf>
    <xf numFmtId="173" fontId="91" fillId="0" borderId="13" xfId="46" applyNumberFormat="1" applyFont="1" applyFill="1" applyBorder="1" applyAlignment="1">
      <alignment horizontal="right" vertical="center"/>
    </xf>
    <xf numFmtId="172" fontId="56" fillId="0" borderId="13" xfId="70" applyNumberFormat="1" applyFont="1" applyFill="1" applyBorder="1" applyAlignment="1">
      <alignment horizontal="right" vertical="center"/>
      <protection/>
    </xf>
    <xf numFmtId="1" fontId="56" fillId="0" borderId="0" xfId="70" applyNumberFormat="1" applyFont="1" applyFill="1" applyAlignment="1">
      <alignment vertical="center"/>
      <protection/>
    </xf>
    <xf numFmtId="1" fontId="56" fillId="0" borderId="13" xfId="70" applyNumberFormat="1" applyFont="1" applyFill="1" applyBorder="1" applyAlignment="1">
      <alignment horizontal="right" vertical="center"/>
      <protection/>
    </xf>
    <xf numFmtId="0" fontId="52" fillId="0" borderId="13" xfId="69" applyFont="1" applyFill="1" applyBorder="1" applyAlignment="1">
      <alignment horizontal="left" vertical="center" wrapText="1"/>
      <protection/>
    </xf>
    <xf numFmtId="177" fontId="52" fillId="0" borderId="13" xfId="46" applyNumberFormat="1" applyFont="1" applyFill="1" applyBorder="1" applyAlignment="1">
      <alignment horizontal="center" vertical="center" wrapText="1"/>
    </xf>
    <xf numFmtId="177" fontId="52" fillId="0" borderId="13" xfId="46" applyNumberFormat="1" applyFont="1" applyFill="1" applyBorder="1" applyAlignment="1">
      <alignment horizontal="left" vertical="center" wrapText="1"/>
    </xf>
    <xf numFmtId="1" fontId="62" fillId="0" borderId="13" xfId="70" applyNumberFormat="1" applyFont="1" applyFill="1" applyBorder="1" applyAlignment="1">
      <alignment horizontal="center" vertical="center"/>
      <protection/>
    </xf>
    <xf numFmtId="0" fontId="62" fillId="26" borderId="13" xfId="0" applyFont="1" applyFill="1" applyBorder="1" applyAlignment="1">
      <alignment horizontal="left" vertical="center" wrapText="1"/>
    </xf>
    <xf numFmtId="0" fontId="62" fillId="26" borderId="13" xfId="0" applyFont="1" applyFill="1" applyBorder="1" applyAlignment="1">
      <alignment horizontal="center" vertical="center" wrapText="1"/>
    </xf>
    <xf numFmtId="3" fontId="92" fillId="26" borderId="13" xfId="0" applyNumberFormat="1" applyFont="1" applyFill="1" applyBorder="1" applyAlignment="1">
      <alignment horizontal="center" vertical="center" wrapText="1"/>
    </xf>
    <xf numFmtId="1" fontId="62" fillId="0" borderId="13" xfId="70" applyNumberFormat="1" applyFont="1" applyFill="1" applyBorder="1" applyAlignment="1">
      <alignment horizontal="center" vertical="center" wrapText="1"/>
      <protection/>
    </xf>
    <xf numFmtId="3" fontId="62" fillId="0" borderId="13" xfId="70" applyNumberFormat="1" applyFont="1" applyFill="1" applyBorder="1" applyAlignment="1">
      <alignment horizontal="right" vertical="center"/>
      <protection/>
    </xf>
    <xf numFmtId="173" fontId="92" fillId="0" borderId="13" xfId="46" applyNumberFormat="1" applyFont="1" applyFill="1" applyBorder="1" applyAlignment="1">
      <alignment horizontal="right" vertical="center"/>
    </xf>
    <xf numFmtId="3" fontId="62" fillId="0" borderId="13" xfId="46" applyNumberFormat="1" applyFont="1" applyFill="1" applyBorder="1" applyAlignment="1">
      <alignment horizontal="right" vertical="center" wrapText="1"/>
    </xf>
    <xf numFmtId="1" fontId="62" fillId="0" borderId="13" xfId="70" applyNumberFormat="1" applyFont="1" applyFill="1" applyBorder="1" applyAlignment="1">
      <alignment horizontal="right" vertical="center"/>
      <protection/>
    </xf>
    <xf numFmtId="1" fontId="62" fillId="0" borderId="0" xfId="70" applyNumberFormat="1" applyFont="1" applyFill="1" applyAlignment="1">
      <alignment vertical="center"/>
      <protection/>
    </xf>
    <xf numFmtId="0" fontId="62" fillId="0" borderId="13" xfId="76" applyFont="1" applyFill="1" applyBorder="1" applyAlignment="1">
      <alignment vertical="center" wrapText="1"/>
      <protection/>
    </xf>
    <xf numFmtId="0" fontId="62" fillId="0" borderId="13" xfId="76" applyFont="1" applyFill="1" applyBorder="1" applyAlignment="1">
      <alignment horizontal="center" vertical="center" wrapText="1"/>
      <protection/>
    </xf>
    <xf numFmtId="3" fontId="93" fillId="0" borderId="13" xfId="70" applyNumberFormat="1" applyFont="1" applyFill="1" applyBorder="1" applyAlignment="1">
      <alignment horizontal="right" vertical="center"/>
      <protection/>
    </xf>
    <xf numFmtId="0" fontId="62" fillId="0" borderId="13" xfId="0" applyFont="1" applyBorder="1" applyAlignment="1">
      <alignment horizontal="left" vertical="center" wrapText="1"/>
    </xf>
    <xf numFmtId="0" fontId="62" fillId="0" borderId="13" xfId="69" applyFont="1" applyFill="1" applyBorder="1" applyAlignment="1">
      <alignment horizontal="left" vertical="center" wrapText="1"/>
      <protection/>
    </xf>
    <xf numFmtId="0" fontId="10" fillId="26" borderId="13" xfId="0" applyFont="1" applyFill="1" applyBorder="1" applyAlignment="1">
      <alignment horizontal="center" vertical="center" wrapText="1"/>
    </xf>
    <xf numFmtId="3" fontId="87" fillId="26" borderId="13" xfId="0" applyNumberFormat="1" applyFont="1" applyFill="1" applyBorder="1" applyAlignment="1">
      <alignment horizontal="center" vertical="center" wrapText="1"/>
    </xf>
    <xf numFmtId="173" fontId="87" fillId="0" borderId="13" xfId="46" applyNumberFormat="1" applyFont="1" applyFill="1" applyBorder="1" applyAlignment="1">
      <alignment horizontal="right" vertical="center"/>
    </xf>
    <xf numFmtId="3" fontId="87" fillId="0" borderId="13" xfId="70" applyNumberFormat="1" applyFont="1" applyFill="1" applyBorder="1" applyAlignment="1">
      <alignment horizontal="right" vertical="center"/>
      <protection/>
    </xf>
    <xf numFmtId="1" fontId="10" fillId="0" borderId="13" xfId="75" applyNumberFormat="1" applyFont="1" applyFill="1" applyBorder="1" applyAlignment="1">
      <alignment horizontal="left" vertical="center" wrapText="1"/>
      <protection/>
    </xf>
    <xf numFmtId="0" fontId="94" fillId="0" borderId="0" xfId="0" applyFont="1" applyAlignment="1">
      <alignment/>
    </xf>
    <xf numFmtId="0" fontId="46" fillId="0" borderId="0" xfId="0" applyFont="1" applyAlignment="1">
      <alignment/>
    </xf>
    <xf numFmtId="0" fontId="95" fillId="0" borderId="13" xfId="0" applyFont="1" applyBorder="1" applyAlignment="1">
      <alignment horizontal="left" vertical="center"/>
    </xf>
    <xf numFmtId="0" fontId="97" fillId="0" borderId="10" xfId="0" applyFont="1" applyBorder="1" applyAlignment="1">
      <alignment/>
    </xf>
    <xf numFmtId="0" fontId="95" fillId="0" borderId="10" xfId="0" applyFont="1" applyBorder="1" applyAlignment="1">
      <alignment horizontal="center"/>
    </xf>
    <xf numFmtId="0" fontId="97" fillId="0" borderId="10" xfId="0" applyFont="1" applyBorder="1" applyAlignment="1">
      <alignment horizontal="center"/>
    </xf>
    <xf numFmtId="0" fontId="97" fillId="0" borderId="10" xfId="0" applyFont="1" applyBorder="1" applyAlignment="1">
      <alignment horizontal="left"/>
    </xf>
    <xf numFmtId="0" fontId="19" fillId="0" borderId="0" xfId="73" applyAlignment="1">
      <alignment vertical="center"/>
      <protection/>
    </xf>
    <xf numFmtId="0" fontId="98" fillId="0" borderId="0" xfId="73" applyFont="1" applyAlignment="1">
      <alignment horizontal="center" vertical="center" wrapText="1"/>
      <protection/>
    </xf>
    <xf numFmtId="0" fontId="95" fillId="0" borderId="0" xfId="73" applyFont="1" applyAlignment="1">
      <alignment vertical="center"/>
      <protection/>
    </xf>
    <xf numFmtId="0" fontId="0" fillId="0" borderId="0" xfId="0" applyFont="1" applyAlignment="1">
      <alignment vertical="center"/>
    </xf>
    <xf numFmtId="0" fontId="43" fillId="0" borderId="0" xfId="0" applyFont="1" applyAlignment="1">
      <alignment vertical="center"/>
    </xf>
    <xf numFmtId="0" fontId="0" fillId="0" borderId="0" xfId="0" applyFont="1" applyAlignment="1">
      <alignment horizontal="left" vertical="center"/>
    </xf>
    <xf numFmtId="173" fontId="0" fillId="0" borderId="0" xfId="46" applyNumberFormat="1" applyFont="1" applyAlignment="1">
      <alignment vertical="center"/>
    </xf>
    <xf numFmtId="0" fontId="0" fillId="0" borderId="0" xfId="0" applyFont="1" applyAlignment="1">
      <alignment horizontal="center" vertical="center"/>
    </xf>
    <xf numFmtId="0" fontId="24" fillId="0" borderId="0" xfId="66" applyFont="1">
      <alignment/>
      <protection/>
    </xf>
    <xf numFmtId="0" fontId="17" fillId="0" borderId="13" xfId="66" applyFont="1" applyBorder="1">
      <alignment/>
      <protection/>
    </xf>
    <xf numFmtId="0" fontId="24" fillId="0" borderId="0" xfId="66" applyFont="1" applyBorder="1">
      <alignment/>
      <protection/>
    </xf>
    <xf numFmtId="0" fontId="20" fillId="0" borderId="0" xfId="66" applyFont="1">
      <alignment/>
      <protection/>
    </xf>
    <xf numFmtId="0" fontId="101" fillId="0" borderId="0" xfId="66" applyFont="1" applyAlignment="1">
      <alignment horizontal="left" indent="3"/>
      <protection/>
    </xf>
    <xf numFmtId="0" fontId="101" fillId="0" borderId="0" xfId="66" applyFont="1">
      <alignment/>
      <protection/>
    </xf>
    <xf numFmtId="0" fontId="17" fillId="0" borderId="0" xfId="66" applyFont="1" applyFill="1" applyBorder="1">
      <alignment/>
      <protection/>
    </xf>
    <xf numFmtId="0" fontId="19" fillId="0" borderId="0" xfId="0" applyFont="1" applyBorder="1" applyAlignment="1">
      <alignment horizontal="center" vertical="center" wrapText="1"/>
    </xf>
    <xf numFmtId="173" fontId="19" fillId="0" borderId="0" xfId="46" applyNumberFormat="1" applyFont="1" applyBorder="1" applyAlignment="1">
      <alignment horizontal="right" vertical="center" wrapText="1"/>
    </xf>
    <xf numFmtId="0" fontId="97" fillId="0" borderId="0" xfId="0" applyFont="1" applyAlignment="1">
      <alignment/>
    </xf>
    <xf numFmtId="0" fontId="95" fillId="0" borderId="18" xfId="0" applyFont="1" applyBorder="1" applyAlignment="1">
      <alignment horizontal="center"/>
    </xf>
    <xf numFmtId="0" fontId="22" fillId="0" borderId="13" xfId="0" applyFont="1" applyFill="1" applyBorder="1" applyAlignment="1">
      <alignment/>
    </xf>
    <xf numFmtId="173" fontId="24" fillId="0" borderId="13" xfId="39" applyNumberFormat="1" applyFont="1" applyFill="1" applyBorder="1" applyAlignment="1">
      <alignment/>
    </xf>
    <xf numFmtId="173" fontId="87" fillId="0" borderId="13" xfId="39" applyNumberFormat="1" applyFont="1" applyFill="1" applyBorder="1" applyAlignment="1">
      <alignment/>
    </xf>
    <xf numFmtId="0" fontId="17" fillId="0" borderId="13" xfId="0" applyFont="1" applyFill="1" applyBorder="1" applyAlignment="1">
      <alignment vertical="center" wrapText="1"/>
    </xf>
    <xf numFmtId="0" fontId="95" fillId="0" borderId="15" xfId="0" applyFont="1" applyBorder="1" applyAlignment="1">
      <alignment horizontal="center" vertical="center"/>
    </xf>
    <xf numFmtId="0" fontId="95" fillId="0" borderId="13" xfId="0" applyFont="1" applyBorder="1" applyAlignment="1">
      <alignment horizontal="center" vertical="center"/>
    </xf>
    <xf numFmtId="0" fontId="27" fillId="0" borderId="22" xfId="0" applyFont="1" applyBorder="1" applyAlignment="1">
      <alignment horizontal="centerContinuous" vertical="center" wrapText="1"/>
    </xf>
    <xf numFmtId="0" fontId="18" fillId="0" borderId="22" xfId="0" applyFont="1" applyBorder="1" applyAlignment="1">
      <alignment horizontal="centerContinuous" vertical="center" wrapText="1"/>
    </xf>
    <xf numFmtId="1" fontId="24" fillId="0" borderId="13" xfId="0" applyNumberFormat="1" applyFont="1" applyFill="1" applyBorder="1" applyAlignment="1">
      <alignment horizontal="center" vertical="center" wrapText="1"/>
    </xf>
    <xf numFmtId="0" fontId="94" fillId="0" borderId="0" xfId="0" applyFont="1" applyAlignment="1">
      <alignment horizontal="centerContinuous"/>
    </xf>
    <xf numFmtId="0" fontId="103" fillId="0" borderId="0" xfId="0" applyFont="1" applyAlignment="1">
      <alignment horizontal="centerContinuous"/>
    </xf>
    <xf numFmtId="0" fontId="94" fillId="0" borderId="22" xfId="0" applyFont="1" applyBorder="1" applyAlignment="1">
      <alignment/>
    </xf>
    <xf numFmtId="0" fontId="95" fillId="0" borderId="10" xfId="0" applyFont="1" applyBorder="1" applyAlignment="1">
      <alignment horizontal="left"/>
    </xf>
    <xf numFmtId="0" fontId="99" fillId="0" borderId="0" xfId="0" applyFont="1" applyAlignment="1">
      <alignment horizontal="centerContinuous"/>
    </xf>
    <xf numFmtId="0" fontId="104" fillId="0" borderId="0" xfId="0" applyFont="1" applyAlignment="1">
      <alignment/>
    </xf>
    <xf numFmtId="0" fontId="95" fillId="0" borderId="0" xfId="0" applyFont="1" applyAlignment="1">
      <alignment/>
    </xf>
    <xf numFmtId="0" fontId="99" fillId="0" borderId="0" xfId="0" applyFont="1" applyAlignment="1">
      <alignment/>
    </xf>
    <xf numFmtId="0" fontId="95" fillId="0" borderId="18" xfId="0" applyFont="1" applyBorder="1" applyAlignment="1">
      <alignment horizontal="left"/>
    </xf>
    <xf numFmtId="0" fontId="95" fillId="0" borderId="0" xfId="0" applyFont="1" applyAlignment="1">
      <alignment horizontal="centerContinuous"/>
    </xf>
    <xf numFmtId="0" fontId="136" fillId="0" borderId="0" xfId="0" applyFont="1" applyAlignment="1">
      <alignment/>
    </xf>
    <xf numFmtId="0" fontId="17" fillId="0" borderId="13" xfId="0" applyFont="1" applyBorder="1" applyAlignment="1">
      <alignment horizontal="center" vertical="center" wrapText="1"/>
    </xf>
    <xf numFmtId="0" fontId="35" fillId="0" borderId="0" xfId="0" applyFont="1" applyAlignment="1">
      <alignment vertical="center"/>
    </xf>
    <xf numFmtId="0" fontId="24" fillId="0" borderId="13" xfId="0" applyFont="1" applyFill="1" applyBorder="1" applyAlignment="1">
      <alignment horizontal="center" vertical="center"/>
    </xf>
    <xf numFmtId="9" fontId="24" fillId="0" borderId="13" xfId="86" applyFont="1" applyFill="1" applyBorder="1" applyAlignment="1">
      <alignment horizontal="center" vertical="center"/>
    </xf>
    <xf numFmtId="0" fontId="35" fillId="0" borderId="0" xfId="0" applyFont="1" applyFill="1" applyAlignment="1">
      <alignment vertical="center"/>
    </xf>
    <xf numFmtId="0" fontId="0" fillId="0" borderId="0" xfId="0" applyFont="1" applyAlignment="1">
      <alignment horizontal="right" vertical="center"/>
    </xf>
    <xf numFmtId="0" fontId="19" fillId="0" borderId="0" xfId="0" applyFont="1" applyAlignment="1">
      <alignment horizontal="left" vertical="center"/>
    </xf>
    <xf numFmtId="0" fontId="17" fillId="0" borderId="13" xfId="0" applyFont="1" applyBorder="1" applyAlignment="1">
      <alignment horizontal="center" vertical="center"/>
    </xf>
    <xf numFmtId="0" fontId="24" fillId="0" borderId="0" xfId="0" applyFont="1" applyAlignment="1">
      <alignment vertical="center"/>
    </xf>
    <xf numFmtId="0" fontId="96" fillId="0" borderId="13" xfId="0" applyFont="1" applyBorder="1" applyAlignment="1">
      <alignment horizontal="center" vertical="center" wrapText="1"/>
    </xf>
    <xf numFmtId="0" fontId="19" fillId="0" borderId="14" xfId="0" applyFont="1" applyBorder="1" applyAlignment="1">
      <alignment/>
    </xf>
    <xf numFmtId="0" fontId="19" fillId="0" borderId="14" xfId="0" applyFont="1" applyFill="1" applyBorder="1" applyAlignment="1">
      <alignment/>
    </xf>
    <xf numFmtId="0" fontId="19" fillId="0" borderId="14" xfId="0" applyFont="1" applyBorder="1" applyAlignment="1">
      <alignment horizontal="left" vertical="center"/>
    </xf>
    <xf numFmtId="0" fontId="24" fillId="0" borderId="14" xfId="0" applyFont="1" applyBorder="1" applyAlignment="1">
      <alignment vertical="center"/>
    </xf>
    <xf numFmtId="0" fontId="97" fillId="0" borderId="14" xfId="0" applyFont="1" applyFill="1" applyBorder="1" applyAlignment="1">
      <alignment horizontal="center" vertical="center"/>
    </xf>
    <xf numFmtId="9" fontId="19" fillId="0" borderId="14" xfId="88" applyFont="1" applyFill="1" applyBorder="1" applyAlignment="1">
      <alignment horizontal="center" vertical="center"/>
    </xf>
    <xf numFmtId="173" fontId="19" fillId="0" borderId="14" xfId="49" applyNumberFormat="1" applyFont="1" applyBorder="1" applyAlignment="1">
      <alignment horizontal="center" vertical="center"/>
    </xf>
    <xf numFmtId="173" fontId="19" fillId="0" borderId="14" xfId="49" applyNumberFormat="1" applyFont="1" applyBorder="1" applyAlignment="1">
      <alignment horizontal="left" vertical="center"/>
    </xf>
    <xf numFmtId="9" fontId="19" fillId="0" borderId="14" xfId="0" applyNumberFormat="1" applyFont="1" applyBorder="1" applyAlignment="1">
      <alignment horizontal="right" vertical="center"/>
    </xf>
    <xf numFmtId="9" fontId="97" fillId="0" borderId="14" xfId="88" applyFont="1" applyFill="1" applyBorder="1" applyAlignment="1">
      <alignment horizontal="center" vertical="center"/>
    </xf>
    <xf numFmtId="0" fontId="19" fillId="0" borderId="10" xfId="0" applyFont="1" applyBorder="1" applyAlignment="1">
      <alignment horizontal="left" vertical="center"/>
    </xf>
    <xf numFmtId="0" fontId="24" fillId="0" borderId="10" xfId="0" applyFont="1" applyBorder="1" applyAlignment="1">
      <alignment vertical="center"/>
    </xf>
    <xf numFmtId="0" fontId="97" fillId="0" borderId="10" xfId="0" applyFont="1" applyFill="1" applyBorder="1" applyAlignment="1">
      <alignment horizontal="center" vertical="center"/>
    </xf>
    <xf numFmtId="9" fontId="19" fillId="0" borderId="10" xfId="88" applyFont="1" applyFill="1" applyBorder="1" applyAlignment="1">
      <alignment horizontal="center" vertical="center"/>
    </xf>
    <xf numFmtId="173" fontId="19" fillId="0" borderId="10" xfId="49" applyNumberFormat="1" applyFont="1" applyBorder="1" applyAlignment="1">
      <alignment horizontal="center" vertical="center"/>
    </xf>
    <xf numFmtId="173" fontId="19" fillId="0" borderId="10" xfId="49" applyNumberFormat="1" applyFont="1" applyBorder="1" applyAlignment="1">
      <alignment horizontal="left" vertical="center"/>
    </xf>
    <xf numFmtId="0" fontId="19" fillId="0" borderId="10" xfId="0" applyFont="1" applyBorder="1" applyAlignment="1">
      <alignment horizontal="right" vertical="center"/>
    </xf>
    <xf numFmtId="9" fontId="97" fillId="0" borderId="10" xfId="88" applyFont="1" applyFill="1" applyBorder="1" applyAlignment="1">
      <alignment horizontal="center" vertical="center"/>
    </xf>
    <xf numFmtId="178" fontId="19" fillId="0" borderId="10" xfId="0" applyNumberFormat="1" applyFont="1" applyFill="1" applyBorder="1" applyAlignment="1">
      <alignment horizontal="right" vertical="center"/>
    </xf>
    <xf numFmtId="0" fontId="0" fillId="0" borderId="0" xfId="0" applyFill="1" applyBorder="1" applyAlignment="1">
      <alignment/>
    </xf>
    <xf numFmtId="1" fontId="19" fillId="0" borderId="10" xfId="0" applyNumberFormat="1" applyFont="1" applyFill="1" applyBorder="1" applyAlignment="1">
      <alignment horizontal="right" vertical="center"/>
    </xf>
    <xf numFmtId="0" fontId="58" fillId="0" borderId="11" xfId="0" applyFont="1" applyBorder="1" applyAlignment="1">
      <alignment vertical="center"/>
    </xf>
    <xf numFmtId="0" fontId="24" fillId="0" borderId="11" xfId="0" applyFont="1" applyBorder="1" applyAlignment="1">
      <alignment horizontal="left" vertical="center"/>
    </xf>
    <xf numFmtId="0" fontId="58" fillId="0" borderId="11" xfId="0" applyFont="1" applyBorder="1" applyAlignment="1">
      <alignment horizontal="left" vertical="center"/>
    </xf>
    <xf numFmtId="0" fontId="58" fillId="0" borderId="11" xfId="0" applyFont="1" applyBorder="1" applyAlignment="1">
      <alignment horizontal="center" vertical="center"/>
    </xf>
    <xf numFmtId="9" fontId="58" fillId="0" borderId="11" xfId="0" applyNumberFormat="1" applyFont="1" applyBorder="1" applyAlignment="1">
      <alignment horizontal="center" vertical="center"/>
    </xf>
    <xf numFmtId="3" fontId="96" fillId="0" borderId="11" xfId="0" applyNumberFormat="1" applyFont="1" applyBorder="1" applyAlignment="1">
      <alignment horizontal="right" vertical="center"/>
    </xf>
    <xf numFmtId="3" fontId="58" fillId="0" borderId="11" xfId="0" applyNumberFormat="1" applyFont="1" applyBorder="1" applyAlignment="1">
      <alignment horizontal="center" vertical="center"/>
    </xf>
    <xf numFmtId="1" fontId="58" fillId="0" borderId="11" xfId="0" applyNumberFormat="1" applyFont="1" applyBorder="1" applyAlignment="1">
      <alignment horizontal="center" vertical="center"/>
    </xf>
    <xf numFmtId="0" fontId="58" fillId="0" borderId="0" xfId="0" applyFont="1" applyAlignment="1">
      <alignment vertical="center"/>
    </xf>
    <xf numFmtId="0" fontId="105" fillId="0" borderId="0" xfId="0" applyFont="1" applyAlignment="1">
      <alignment horizontal="left" vertical="center"/>
    </xf>
    <xf numFmtId="0" fontId="17" fillId="0" borderId="0" xfId="0" applyFont="1" applyAlignment="1">
      <alignment vertical="center"/>
    </xf>
    <xf numFmtId="0" fontId="137" fillId="0" borderId="13" xfId="0" applyFont="1" applyFill="1" applyBorder="1" applyAlignment="1">
      <alignment horizontal="center" vertical="center" wrapText="1"/>
    </xf>
    <xf numFmtId="0" fontId="138" fillId="27" borderId="13" xfId="0" applyFont="1" applyFill="1" applyBorder="1" applyAlignment="1">
      <alignment vertical="center" wrapText="1"/>
    </xf>
    <xf numFmtId="0" fontId="138" fillId="27" borderId="13" xfId="0" applyFont="1" applyFill="1" applyBorder="1" applyAlignment="1">
      <alignment horizontal="center" vertical="center" wrapText="1"/>
    </xf>
    <xf numFmtId="0" fontId="9" fillId="27" borderId="13" xfId="0" applyFont="1" applyFill="1" applyBorder="1" applyAlignment="1">
      <alignment horizontal="center" vertical="center" wrapText="1"/>
    </xf>
    <xf numFmtId="0" fontId="10" fillId="0" borderId="25" xfId="0" applyFont="1" applyBorder="1" applyAlignment="1">
      <alignment horizontal="center"/>
    </xf>
    <xf numFmtId="0" fontId="10" fillId="0" borderId="20" xfId="0" applyFont="1" applyBorder="1" applyAlignment="1">
      <alignment horizontal="center"/>
    </xf>
    <xf numFmtId="0" fontId="21" fillId="0" borderId="13" xfId="0" applyFont="1" applyBorder="1" applyAlignment="1">
      <alignment/>
    </xf>
    <xf numFmtId="0" fontId="10" fillId="0" borderId="13" xfId="0" applyFont="1" applyBorder="1" applyAlignment="1">
      <alignment/>
    </xf>
    <xf numFmtId="0" fontId="139" fillId="0" borderId="13" xfId="0" applyFont="1" applyBorder="1" applyAlignment="1">
      <alignment horizontal="center"/>
    </xf>
    <xf numFmtId="0" fontId="139" fillId="0" borderId="13" xfId="0" applyFont="1" applyBorder="1" applyAlignment="1">
      <alignment horizontal="left"/>
    </xf>
    <xf numFmtId="0" fontId="10" fillId="0" borderId="13" xfId="0" applyFont="1" applyBorder="1" applyAlignment="1">
      <alignment horizontal="center"/>
    </xf>
    <xf numFmtId="0" fontId="10" fillId="0" borderId="13" xfId="0" applyFont="1" applyBorder="1" applyAlignment="1">
      <alignment horizontal="right"/>
    </xf>
    <xf numFmtId="0" fontId="87" fillId="0" borderId="13" xfId="64" applyFont="1" applyBorder="1" applyAlignment="1">
      <alignment horizontal="center" wrapText="1"/>
      <protection/>
    </xf>
    <xf numFmtId="0" fontId="87" fillId="0" borderId="13" xfId="64" applyFont="1" applyBorder="1" applyAlignment="1">
      <alignment horizontal="center"/>
      <protection/>
    </xf>
    <xf numFmtId="0" fontId="87" fillId="0" borderId="13" xfId="64" applyFont="1" applyBorder="1">
      <alignment/>
      <protection/>
    </xf>
    <xf numFmtId="0" fontId="87" fillId="0" borderId="26" xfId="64" applyFont="1" applyBorder="1" applyAlignment="1">
      <alignment horizontal="center"/>
      <protection/>
    </xf>
    <xf numFmtId="0" fontId="139" fillId="0" borderId="13" xfId="0" applyFont="1" applyBorder="1" applyAlignment="1">
      <alignment horizontal="center" vertical="top"/>
    </xf>
    <xf numFmtId="173" fontId="139" fillId="0" borderId="13" xfId="49" applyNumberFormat="1" applyFont="1" applyFill="1" applyBorder="1" applyAlignment="1">
      <alignment horizontal="left" vertical="center" wrapText="1"/>
    </xf>
    <xf numFmtId="0" fontId="10" fillId="0" borderId="13" xfId="0" applyFont="1" applyBorder="1" applyAlignment="1">
      <alignment wrapText="1"/>
    </xf>
    <xf numFmtId="0" fontId="10" fillId="0" borderId="13" xfId="0" applyFont="1" applyBorder="1" applyAlignment="1">
      <alignment horizontal="center" wrapText="1"/>
    </xf>
    <xf numFmtId="0" fontId="87" fillId="0" borderId="13" xfId="64" applyFont="1" applyFill="1" applyBorder="1" applyAlignment="1">
      <alignment wrapText="1"/>
      <protection/>
    </xf>
    <xf numFmtId="0" fontId="87" fillId="0" borderId="13" xfId="64" applyFont="1" applyFill="1" applyBorder="1">
      <alignment/>
      <protection/>
    </xf>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xf>
    <xf numFmtId="0" fontId="10" fillId="0" borderId="29" xfId="0" applyFont="1" applyBorder="1" applyAlignment="1">
      <alignment wrapText="1"/>
    </xf>
    <xf numFmtId="0" fontId="22" fillId="0" borderId="29" xfId="0" applyFont="1" applyBorder="1" applyAlignment="1">
      <alignment wrapText="1"/>
    </xf>
    <xf numFmtId="0" fontId="87" fillId="0" borderId="30" xfId="64" applyFont="1" applyBorder="1" applyAlignment="1">
      <alignment horizontal="center"/>
      <protection/>
    </xf>
    <xf numFmtId="173" fontId="107" fillId="0" borderId="13" xfId="46" applyNumberFormat="1" applyFont="1" applyFill="1" applyBorder="1" applyAlignment="1">
      <alignment horizontal="right" vertical="center"/>
    </xf>
    <xf numFmtId="173" fontId="87" fillId="0" borderId="29" xfId="46" applyNumberFormat="1" applyFont="1" applyFill="1" applyBorder="1" applyAlignment="1">
      <alignment horizontal="right" vertical="center"/>
    </xf>
    <xf numFmtId="173" fontId="107" fillId="0" borderId="29" xfId="46" applyNumberFormat="1" applyFont="1" applyFill="1" applyBorder="1" applyAlignment="1">
      <alignment horizontal="right" vertical="center"/>
    </xf>
    <xf numFmtId="0" fontId="19" fillId="0" borderId="0" xfId="0" applyFont="1" applyBorder="1" applyAlignment="1">
      <alignment horizontal="left" indent="5"/>
    </xf>
    <xf numFmtId="0" fontId="21" fillId="0" borderId="0" xfId="0" applyFont="1" applyAlignment="1">
      <alignment horizontal="left" vertical="center"/>
    </xf>
    <xf numFmtId="0" fontId="19" fillId="0" borderId="0" xfId="0" applyFont="1" applyAlignment="1">
      <alignment horizontal="center" vertical="center"/>
    </xf>
    <xf numFmtId="173" fontId="19" fillId="0" borderId="0" xfId="46" applyNumberFormat="1" applyFont="1" applyAlignment="1">
      <alignment vertical="center"/>
    </xf>
    <xf numFmtId="0" fontId="22" fillId="0" borderId="13" xfId="0" applyFont="1" applyFill="1" applyBorder="1" applyAlignment="1">
      <alignment horizontal="right"/>
    </xf>
    <xf numFmtId="0" fontId="34" fillId="0" borderId="0" xfId="0" applyFont="1" applyAlignment="1">
      <alignment/>
    </xf>
    <xf numFmtId="0" fontId="108" fillId="0" borderId="15" xfId="0" applyFont="1" applyBorder="1" applyAlignment="1">
      <alignment vertical="center"/>
    </xf>
    <xf numFmtId="0" fontId="108" fillId="0" borderId="13" xfId="0" applyFont="1" applyBorder="1" applyAlignment="1">
      <alignment horizontal="center" vertical="center" wrapText="1"/>
    </xf>
    <xf numFmtId="0" fontId="109" fillId="0" borderId="0" xfId="0" applyFont="1" applyAlignment="1">
      <alignment horizontal="centerContinuous"/>
    </xf>
    <xf numFmtId="0" fontId="1" fillId="0" borderId="0" xfId="0" applyFont="1" applyAlignment="1">
      <alignment/>
    </xf>
    <xf numFmtId="0" fontId="87" fillId="0" borderId="0" xfId="66" applyFont="1" applyBorder="1">
      <alignment/>
      <protection/>
    </xf>
    <xf numFmtId="0" fontId="87" fillId="0" borderId="0" xfId="66" applyFont="1">
      <alignment/>
      <protection/>
    </xf>
    <xf numFmtId="0" fontId="1" fillId="0" borderId="0" xfId="0" applyFont="1" applyAlignment="1">
      <alignment horizontal="centerContinuous" vertical="center"/>
    </xf>
    <xf numFmtId="173" fontId="1" fillId="0" borderId="0" xfId="46" applyNumberFormat="1" applyFont="1" applyAlignment="1">
      <alignment horizontal="centerContinuous" vertical="center"/>
    </xf>
    <xf numFmtId="0" fontId="1" fillId="0" borderId="0" xfId="0" applyFont="1" applyAlignment="1">
      <alignment vertical="center"/>
    </xf>
    <xf numFmtId="0" fontId="102" fillId="0" borderId="0" xfId="66" applyFont="1">
      <alignment/>
      <protection/>
    </xf>
    <xf numFmtId="0" fontId="140" fillId="0" borderId="0" xfId="0" applyFont="1" applyAlignment="1">
      <alignment horizontal="centerContinuous"/>
    </xf>
    <xf numFmtId="0" fontId="110" fillId="0" borderId="0" xfId="0" applyFont="1" applyAlignment="1">
      <alignment horizontal="centerContinuous"/>
    </xf>
    <xf numFmtId="0" fontId="111" fillId="0" borderId="0" xfId="0" applyFont="1" applyAlignment="1">
      <alignment horizontal="centerContinuous"/>
    </xf>
    <xf numFmtId="0" fontId="24" fillId="26" borderId="13" xfId="66" applyFont="1" applyFill="1" applyBorder="1" applyAlignment="1">
      <alignment horizontal="center" vertical="center"/>
      <protection/>
    </xf>
    <xf numFmtId="0" fontId="24" fillId="26" borderId="13" xfId="66" applyFont="1" applyFill="1" applyBorder="1" applyAlignment="1">
      <alignment horizontal="center" vertical="center" wrapText="1"/>
      <protection/>
    </xf>
    <xf numFmtId="0" fontId="48" fillId="0" borderId="0" xfId="0" applyFont="1" applyAlignment="1">
      <alignment horizontal="centerContinuous"/>
    </xf>
    <xf numFmtId="0" fontId="95" fillId="0" borderId="11" xfId="0" applyFont="1" applyBorder="1" applyAlignment="1">
      <alignment horizontal="center" vertical="center"/>
    </xf>
    <xf numFmtId="0" fontId="24" fillId="0" borderId="0" xfId="66" applyFont="1" applyAlignment="1">
      <alignment horizontal="center"/>
      <protection/>
    </xf>
    <xf numFmtId="0" fontId="97" fillId="0" borderId="0" xfId="0" applyFont="1" applyAlignment="1">
      <alignment vertical="center"/>
    </xf>
    <xf numFmtId="0" fontId="44" fillId="0" borderId="0" xfId="0" applyFont="1" applyAlignment="1">
      <alignment vertical="center"/>
    </xf>
    <xf numFmtId="0" fontId="104" fillId="0" borderId="0" xfId="0" applyFont="1" applyAlignment="1">
      <alignment horizontal="left" vertical="center"/>
    </xf>
    <xf numFmtId="0" fontId="95" fillId="0" borderId="0" xfId="0" applyFont="1" applyAlignment="1">
      <alignment horizontal="center" vertical="center"/>
    </xf>
    <xf numFmtId="0" fontId="48" fillId="0" borderId="0" xfId="0" applyFont="1" applyAlignment="1">
      <alignment vertical="center"/>
    </xf>
    <xf numFmtId="0" fontId="95" fillId="0" borderId="0" xfId="0" applyFont="1" applyAlignment="1">
      <alignment vertical="center"/>
    </xf>
    <xf numFmtId="0" fontId="60" fillId="0" borderId="0" xfId="0" applyFont="1" applyAlignment="1">
      <alignment vertical="center"/>
    </xf>
    <xf numFmtId="0" fontId="23" fillId="0" borderId="13" xfId="0" applyFont="1" applyFill="1" applyBorder="1" applyAlignment="1">
      <alignment horizontal="left" wrapText="1"/>
    </xf>
    <xf numFmtId="0" fontId="97" fillId="0" borderId="13" xfId="0" applyFont="1" applyBorder="1" applyAlignment="1">
      <alignment/>
    </xf>
    <xf numFmtId="0" fontId="97" fillId="0" borderId="10" xfId="0" applyFont="1" applyBorder="1" applyAlignment="1">
      <alignment horizontal="right"/>
    </xf>
    <xf numFmtId="0" fontId="23" fillId="0" borderId="13" xfId="0" applyFont="1" applyBorder="1" applyAlignment="1">
      <alignment horizontal="center" vertical="center" wrapText="1"/>
    </xf>
    <xf numFmtId="0" fontId="135" fillId="27" borderId="0" xfId="0" applyFont="1" applyFill="1" applyAlignment="1">
      <alignment vertical="center"/>
    </xf>
    <xf numFmtId="0" fontId="135" fillId="0" borderId="0" xfId="0" applyFont="1" applyAlignment="1">
      <alignment vertical="center"/>
    </xf>
    <xf numFmtId="0" fontId="141" fillId="27" borderId="0" xfId="0" applyFont="1" applyFill="1" applyBorder="1" applyAlignment="1">
      <alignment horizontal="left" vertical="center"/>
    </xf>
    <xf numFmtId="0" fontId="19" fillId="27" borderId="0" xfId="0" applyFont="1" applyFill="1" applyAlignment="1">
      <alignment vertical="center"/>
    </xf>
    <xf numFmtId="173" fontId="19" fillId="27" borderId="0" xfId="46" applyNumberFormat="1" applyFont="1" applyFill="1" applyAlignment="1">
      <alignment horizontal="center" vertical="center"/>
    </xf>
    <xf numFmtId="173" fontId="142" fillId="27" borderId="0" xfId="46" applyNumberFormat="1" applyFont="1" applyFill="1" applyAlignment="1">
      <alignment horizontal="center" vertical="center"/>
    </xf>
    <xf numFmtId="0" fontId="142" fillId="27" borderId="0" xfId="0" applyFont="1" applyFill="1" applyAlignment="1">
      <alignment horizontal="center" vertical="center"/>
    </xf>
    <xf numFmtId="0" fontId="142" fillId="27" borderId="0" xfId="0" applyFont="1" applyFill="1" applyAlignment="1">
      <alignment vertical="center"/>
    </xf>
    <xf numFmtId="0" fontId="141" fillId="27" borderId="0" xfId="0" applyFont="1" applyFill="1" applyAlignment="1">
      <alignment horizontal="center" vertical="center"/>
    </xf>
    <xf numFmtId="0" fontId="21" fillId="27" borderId="0" xfId="0" applyFont="1" applyFill="1" applyAlignment="1">
      <alignment vertical="center"/>
    </xf>
    <xf numFmtId="190" fontId="19" fillId="27" borderId="0" xfId="0" applyNumberFormat="1" applyFont="1" applyFill="1" applyAlignment="1">
      <alignment vertical="center"/>
    </xf>
    <xf numFmtId="0" fontId="135" fillId="27" borderId="0" xfId="0" applyFont="1" applyFill="1" applyAlignment="1">
      <alignment horizontal="center" vertical="center"/>
    </xf>
    <xf numFmtId="176" fontId="19" fillId="27" borderId="0" xfId="46" applyNumberFormat="1" applyFont="1" applyFill="1" applyAlignment="1">
      <alignment vertical="center"/>
    </xf>
    <xf numFmtId="176" fontId="19" fillId="27" borderId="0" xfId="46" applyNumberFormat="1" applyFont="1" applyFill="1" applyAlignment="1">
      <alignment horizontal="center" vertical="center"/>
    </xf>
    <xf numFmtId="176" fontId="19" fillId="27" borderId="0" xfId="0" applyNumberFormat="1" applyFont="1" applyFill="1" applyAlignment="1">
      <alignment vertical="center"/>
    </xf>
    <xf numFmtId="190" fontId="135" fillId="27" borderId="0" xfId="0" applyNumberFormat="1" applyFont="1" applyFill="1" applyAlignment="1">
      <alignment horizontal="center" vertical="center"/>
    </xf>
    <xf numFmtId="0" fontId="141" fillId="27" borderId="0" xfId="0" applyFont="1" applyFill="1" applyAlignment="1">
      <alignment vertical="center"/>
    </xf>
    <xf numFmtId="0" fontId="135" fillId="27" borderId="0" xfId="0" applyFont="1" applyFill="1" applyAlignment="1" quotePrefix="1">
      <alignment horizontal="right" vertical="center"/>
    </xf>
    <xf numFmtId="0" fontId="141" fillId="27" borderId="0" xfId="0" applyFont="1" applyFill="1" applyAlignment="1" quotePrefix="1">
      <alignment horizontal="right" vertical="top"/>
    </xf>
    <xf numFmtId="0" fontId="21" fillId="27" borderId="0" xfId="0" applyFont="1" applyFill="1" applyAlignment="1">
      <alignment horizontal="center" vertical="center"/>
    </xf>
    <xf numFmtId="0" fontId="21" fillId="27" borderId="0" xfId="0" applyFont="1" applyFill="1" applyAlignment="1">
      <alignment horizontal="center" vertical="center"/>
    </xf>
    <xf numFmtId="0" fontId="141" fillId="27" borderId="0" xfId="0" applyFont="1" applyFill="1" applyAlignment="1">
      <alignment horizontal="center" vertical="center"/>
    </xf>
    <xf numFmtId="173" fontId="21" fillId="27" borderId="0" xfId="46" applyNumberFormat="1" applyFont="1" applyFill="1" applyAlignment="1">
      <alignment horizontal="center" vertical="center"/>
    </xf>
    <xf numFmtId="0" fontId="35" fillId="0" borderId="13" xfId="0" applyFont="1" applyBorder="1" applyAlignment="1">
      <alignment vertical="center"/>
    </xf>
    <xf numFmtId="0" fontId="135" fillId="27" borderId="0" xfId="0" applyFont="1" applyFill="1" applyAlignment="1">
      <alignment vertical="center" wrapText="1"/>
    </xf>
    <xf numFmtId="0" fontId="48" fillId="0" borderId="22" xfId="0" applyFont="1" applyBorder="1" applyAlignment="1">
      <alignment/>
    </xf>
    <xf numFmtId="0" fontId="21" fillId="27" borderId="0" xfId="0" applyFont="1" applyFill="1" applyAlignment="1">
      <alignment horizontal="center" vertical="center"/>
    </xf>
    <xf numFmtId="0" fontId="141" fillId="27" borderId="0" xfId="0" applyFont="1" applyFill="1" applyAlignment="1">
      <alignment horizontal="center" vertical="center"/>
    </xf>
    <xf numFmtId="180" fontId="0" fillId="27" borderId="0" xfId="0" applyNumberFormat="1" applyFont="1" applyFill="1" applyAlignment="1">
      <alignment vertical="center"/>
    </xf>
    <xf numFmtId="0" fontId="0" fillId="27" borderId="0" xfId="0" applyFont="1" applyFill="1" applyAlignment="1">
      <alignment vertical="center"/>
    </xf>
    <xf numFmtId="0" fontId="43" fillId="27" borderId="0" xfId="0" applyFont="1" applyFill="1" applyAlignment="1">
      <alignment vertical="center"/>
    </xf>
    <xf numFmtId="0" fontId="112" fillId="27" borderId="0" xfId="0" applyFont="1" applyFill="1" applyAlignment="1">
      <alignment vertical="center"/>
    </xf>
    <xf numFmtId="0" fontId="21" fillId="27" borderId="0" xfId="0" applyFont="1" applyFill="1" applyAlignment="1">
      <alignment horizontal="centerContinuous"/>
    </xf>
    <xf numFmtId="0" fontId="143" fillId="27" borderId="0" xfId="0" applyFont="1" applyFill="1" applyAlignment="1">
      <alignment horizontal="centerContinuous"/>
    </xf>
    <xf numFmtId="0" fontId="0" fillId="27" borderId="0" xfId="0" applyFont="1" applyFill="1" applyAlignment="1">
      <alignment/>
    </xf>
    <xf numFmtId="0" fontId="95" fillId="27" borderId="10" xfId="0" applyFont="1" applyFill="1" applyBorder="1" applyAlignment="1">
      <alignment horizontal="center"/>
    </xf>
    <xf numFmtId="0" fontId="97" fillId="27" borderId="10" xfId="0" applyFont="1" applyFill="1" applyBorder="1" applyAlignment="1">
      <alignment horizontal="left"/>
    </xf>
    <xf numFmtId="0" fontId="97" fillId="27" borderId="10" xfId="0" applyFont="1" applyFill="1" applyBorder="1" applyAlignment="1">
      <alignment horizontal="center"/>
    </xf>
    <xf numFmtId="0" fontId="97" fillId="27" borderId="10" xfId="0" applyFont="1" applyFill="1" applyBorder="1" applyAlignment="1">
      <alignment/>
    </xf>
    <xf numFmtId="0" fontId="97" fillId="27" borderId="0" xfId="0" applyFont="1" applyFill="1" applyAlignment="1">
      <alignment/>
    </xf>
    <xf numFmtId="0" fontId="94" fillId="27" borderId="0" xfId="0" applyFont="1" applyFill="1" applyAlignment="1">
      <alignment/>
    </xf>
    <xf numFmtId="0" fontId="102" fillId="0" borderId="0" xfId="0" applyFont="1" applyAlignment="1">
      <alignment horizontal="centerContinuous"/>
    </xf>
    <xf numFmtId="0" fontId="102" fillId="0" borderId="0" xfId="0" applyFont="1" applyAlignment="1">
      <alignment/>
    </xf>
    <xf numFmtId="0" fontId="108" fillId="27" borderId="13" xfId="0" applyFont="1" applyFill="1" applyBorder="1" applyAlignment="1">
      <alignment horizontal="center" vertical="center" wrapText="1"/>
    </xf>
    <xf numFmtId="0" fontId="23" fillId="27" borderId="13" xfId="0" applyFont="1" applyFill="1" applyBorder="1" applyAlignment="1">
      <alignment horizontal="center" vertical="center" wrapText="1"/>
    </xf>
    <xf numFmtId="0" fontId="97" fillId="27" borderId="10" xfId="0" applyFont="1" applyFill="1" applyBorder="1" applyAlignment="1">
      <alignment horizontal="right"/>
    </xf>
    <xf numFmtId="0" fontId="95" fillId="0" borderId="10" xfId="0" applyFont="1" applyBorder="1" applyAlignment="1">
      <alignment horizontal="center" vertical="center"/>
    </xf>
    <xf numFmtId="0" fontId="95" fillId="0" borderId="10" xfId="0" applyFont="1" applyBorder="1" applyAlignment="1">
      <alignment horizontal="left" vertical="center" wrapText="1"/>
    </xf>
    <xf numFmtId="0" fontId="95" fillId="27" borderId="10" xfId="0" applyFont="1" applyFill="1" applyBorder="1" applyAlignment="1">
      <alignment horizontal="left"/>
    </xf>
    <xf numFmtId="0" fontId="19" fillId="27" borderId="0" xfId="0" applyFont="1" applyFill="1" applyAlignment="1">
      <alignment horizontal="justify"/>
    </xf>
    <xf numFmtId="0" fontId="135" fillId="27" borderId="0" xfId="0" applyFont="1" applyFill="1" applyAlignment="1" quotePrefix="1">
      <alignment horizontal="right" vertical="top"/>
    </xf>
    <xf numFmtId="0" fontId="23" fillId="27" borderId="13" xfId="0" applyFont="1" applyFill="1" applyBorder="1" applyAlignment="1">
      <alignment horizontal="left" wrapText="1"/>
    </xf>
    <xf numFmtId="0" fontId="17" fillId="0" borderId="15" xfId="0" applyFont="1" applyFill="1" applyBorder="1" applyAlignment="1">
      <alignment horizontal="center" vertical="center" wrapText="1"/>
    </xf>
    <xf numFmtId="0" fontId="17" fillId="0" borderId="15" xfId="0" applyFont="1" applyBorder="1" applyAlignment="1">
      <alignment horizontal="center" vertical="center" wrapText="1"/>
    </xf>
    <xf numFmtId="173" fontId="43" fillId="27" borderId="0" xfId="0" applyNumberFormat="1" applyFont="1" applyFill="1" applyAlignment="1">
      <alignment vertical="center"/>
    </xf>
    <xf numFmtId="173" fontId="0" fillId="27" borderId="0" xfId="0" applyNumberFormat="1" applyFont="1" applyFill="1" applyAlignment="1">
      <alignment vertical="center"/>
    </xf>
    <xf numFmtId="0" fontId="144" fillId="26" borderId="13" xfId="66" applyFont="1" applyFill="1" applyBorder="1" applyAlignment="1">
      <alignment horizontal="center" vertical="center" wrapText="1"/>
      <protection/>
    </xf>
    <xf numFmtId="0" fontId="17" fillId="27" borderId="13" xfId="0" applyFont="1" applyFill="1" applyBorder="1" applyAlignment="1">
      <alignment horizontal="left" vertical="center" wrapText="1"/>
    </xf>
    <xf numFmtId="0" fontId="24" fillId="27" borderId="13" xfId="0" applyFont="1" applyFill="1" applyBorder="1" applyAlignment="1">
      <alignment horizontal="left" vertical="center" wrapText="1"/>
    </xf>
    <xf numFmtId="0" fontId="24" fillId="27" borderId="13" xfId="0" applyFont="1" applyFill="1" applyBorder="1" applyAlignment="1">
      <alignment/>
    </xf>
    <xf numFmtId="0" fontId="145" fillId="27" borderId="13" xfId="0" applyFont="1" applyFill="1" applyBorder="1" applyAlignment="1">
      <alignment/>
    </xf>
    <xf numFmtId="0" fontId="24" fillId="27" borderId="13" xfId="0" applyFont="1" applyFill="1" applyBorder="1" applyAlignment="1">
      <alignment horizontal="center" vertical="center"/>
    </xf>
    <xf numFmtId="0" fontId="24" fillId="27" borderId="13" xfId="0" applyFont="1" applyFill="1" applyBorder="1" applyAlignment="1">
      <alignment vertical="center"/>
    </xf>
    <xf numFmtId="0" fontId="24" fillId="27" borderId="13" xfId="0" applyFont="1" applyFill="1" applyBorder="1" applyAlignment="1">
      <alignment horizontal="left" vertical="center"/>
    </xf>
    <xf numFmtId="0" fontId="24" fillId="27" borderId="13" xfId="0" applyFont="1" applyFill="1" applyBorder="1" applyAlignment="1">
      <alignment horizontal="center"/>
    </xf>
    <xf numFmtId="0" fontId="24" fillId="0" borderId="13" xfId="0" applyFont="1" applyBorder="1" applyAlignment="1" applyProtection="1">
      <alignment horizontal="center" vertical="center"/>
      <protection locked="0"/>
    </xf>
    <xf numFmtId="0" fontId="145" fillId="26" borderId="13" xfId="66" applyFont="1" applyFill="1" applyBorder="1" applyAlignment="1">
      <alignment horizontal="center" vertical="center"/>
      <protection/>
    </xf>
    <xf numFmtId="173" fontId="24" fillId="0" borderId="13" xfId="0" applyNumberFormat="1" applyFont="1" applyBorder="1" applyAlignment="1" applyProtection="1">
      <alignment vertical="center"/>
      <protection/>
    </xf>
    <xf numFmtId="171" fontId="24" fillId="0" borderId="13" xfId="0" applyNumberFormat="1" applyFont="1" applyFill="1" applyBorder="1" applyAlignment="1" applyProtection="1">
      <alignment vertical="center"/>
      <protection/>
    </xf>
    <xf numFmtId="2" fontId="24" fillId="0" borderId="13" xfId="0" applyNumberFormat="1" applyFont="1" applyFill="1" applyBorder="1" applyAlignment="1" applyProtection="1">
      <alignment vertical="center"/>
      <protection/>
    </xf>
    <xf numFmtId="178" fontId="24" fillId="0" borderId="13" xfId="87" applyNumberFormat="1" applyFont="1" applyBorder="1" applyAlignment="1" applyProtection="1">
      <alignment vertical="center"/>
      <protection/>
    </xf>
    <xf numFmtId="177" fontId="24" fillId="0" borderId="13" xfId="87" applyNumberFormat="1" applyFont="1" applyBorder="1" applyAlignment="1" applyProtection="1">
      <alignment vertical="center"/>
      <protection/>
    </xf>
    <xf numFmtId="171" fontId="24" fillId="0" borderId="13" xfId="0" applyNumberFormat="1" applyFont="1" applyBorder="1" applyAlignment="1" applyProtection="1">
      <alignment vertical="center"/>
      <protection/>
    </xf>
    <xf numFmtId="0" fontId="24" fillId="0" borderId="13" xfId="0" applyFont="1" applyBorder="1" applyAlignment="1" applyProtection="1">
      <alignment vertical="center"/>
      <protection/>
    </xf>
    <xf numFmtId="3" fontId="24" fillId="0" borderId="13" xfId="0" applyNumberFormat="1" applyFont="1" applyBorder="1" applyAlignment="1" applyProtection="1">
      <alignment vertical="center"/>
      <protection/>
    </xf>
    <xf numFmtId="0" fontId="17" fillId="27" borderId="13" xfId="0" applyFont="1" applyFill="1" applyBorder="1" applyAlignment="1">
      <alignment horizontal="center"/>
    </xf>
    <xf numFmtId="1" fontId="24" fillId="0" borderId="13" xfId="0" applyNumberFormat="1" applyFont="1" applyBorder="1" applyAlignment="1" applyProtection="1">
      <alignment vertical="center"/>
      <protection/>
    </xf>
    <xf numFmtId="173" fontId="24" fillId="0" borderId="13" xfId="0" applyNumberFormat="1" applyFont="1" applyFill="1" applyBorder="1" applyAlignment="1" applyProtection="1">
      <alignment vertical="center"/>
      <protection/>
    </xf>
    <xf numFmtId="177" fontId="24" fillId="0" borderId="13" xfId="0" applyNumberFormat="1" applyFont="1" applyFill="1" applyBorder="1" applyAlignment="1" applyProtection="1">
      <alignment vertical="center"/>
      <protection/>
    </xf>
    <xf numFmtId="171" fontId="24" fillId="0" borderId="13" xfId="87" applyNumberFormat="1" applyFont="1" applyBorder="1" applyAlignment="1" applyProtection="1">
      <alignment vertical="center"/>
      <protection/>
    </xf>
    <xf numFmtId="1" fontId="24" fillId="0" borderId="13" xfId="0" applyNumberFormat="1" applyFont="1" applyBorder="1" applyAlignment="1">
      <alignment/>
    </xf>
    <xf numFmtId="173" fontId="24" fillId="0" borderId="13" xfId="0" applyNumberFormat="1" applyFont="1" applyBorder="1" applyAlignment="1">
      <alignment/>
    </xf>
    <xf numFmtId="177" fontId="24" fillId="0" borderId="13" xfId="0" applyNumberFormat="1" applyFont="1" applyBorder="1" applyAlignment="1">
      <alignment/>
    </xf>
    <xf numFmtId="178" fontId="24" fillId="0" borderId="13" xfId="0" applyNumberFormat="1" applyFont="1" applyBorder="1" applyAlignment="1">
      <alignment/>
    </xf>
    <xf numFmtId="0" fontId="24" fillId="0" borderId="13" xfId="0" applyFont="1" applyBorder="1" applyAlignment="1">
      <alignment/>
    </xf>
    <xf numFmtId="0" fontId="145" fillId="27" borderId="13" xfId="0" applyFont="1" applyFill="1" applyBorder="1" applyAlignment="1">
      <alignment horizontal="center"/>
    </xf>
    <xf numFmtId="0" fontId="113" fillId="0" borderId="0" xfId="0" applyFont="1" applyAlignment="1">
      <alignment/>
    </xf>
    <xf numFmtId="0" fontId="17" fillId="0" borderId="13" xfId="0" applyFont="1" applyBorder="1" applyAlignment="1" applyProtection="1">
      <alignment horizontal="center" vertical="center" wrapText="1"/>
      <protection locked="0"/>
    </xf>
    <xf numFmtId="0" fontId="17" fillId="0" borderId="13" xfId="0" applyFont="1" applyFill="1" applyBorder="1" applyAlignment="1">
      <alignment horizontal="center" vertical="center"/>
    </xf>
    <xf numFmtId="0" fontId="17" fillId="0" borderId="13" xfId="0" applyFont="1" applyFill="1" applyBorder="1" applyAlignment="1">
      <alignment horizontal="left" vertical="center" wrapText="1"/>
    </xf>
    <xf numFmtId="0" fontId="17" fillId="0" borderId="13" xfId="0" applyFont="1" applyFill="1" applyBorder="1" applyAlignment="1">
      <alignment/>
    </xf>
    <xf numFmtId="0" fontId="24" fillId="0" borderId="13" xfId="0" applyFont="1" applyFill="1" applyBorder="1" applyAlignment="1">
      <alignment horizontal="left" vertical="center" wrapText="1"/>
    </xf>
    <xf numFmtId="0" fontId="24" fillId="0" borderId="13" xfId="66" applyFont="1" applyFill="1" applyBorder="1" applyAlignment="1">
      <alignment horizontal="left" vertical="center"/>
      <protection/>
    </xf>
    <xf numFmtId="0" fontId="24" fillId="0" borderId="13" xfId="59" applyFont="1" applyFill="1" applyBorder="1" applyAlignment="1">
      <alignment/>
      <protection/>
    </xf>
    <xf numFmtId="0" fontId="24" fillId="0" borderId="13" xfId="0" applyFont="1" applyFill="1" applyBorder="1" applyAlignment="1">
      <alignment horizontal="left" vertical="center"/>
    </xf>
    <xf numFmtId="0" fontId="17" fillId="0" borderId="13" xfId="66" applyFont="1" applyFill="1" applyBorder="1" applyAlignment="1">
      <alignment horizontal="left" vertical="center"/>
      <protection/>
    </xf>
    <xf numFmtId="0" fontId="24" fillId="0" borderId="13" xfId="0" applyFont="1" applyFill="1" applyBorder="1" applyAlignment="1">
      <alignment horizontal="center"/>
    </xf>
    <xf numFmtId="0" fontId="17" fillId="0" borderId="13" xfId="0" applyFont="1" applyFill="1" applyBorder="1" applyAlignment="1">
      <alignment horizontal="center"/>
    </xf>
    <xf numFmtId="0" fontId="114" fillId="0" borderId="13" xfId="0" applyFont="1" applyFill="1" applyBorder="1" applyAlignment="1">
      <alignment horizontal="center"/>
    </xf>
    <xf numFmtId="0" fontId="115" fillId="0" borderId="13" xfId="0" applyFont="1" applyFill="1" applyBorder="1" applyAlignment="1">
      <alignment horizontal="center"/>
    </xf>
    <xf numFmtId="192" fontId="24" fillId="0" borderId="13" xfId="0" applyNumberFormat="1" applyFont="1" applyFill="1" applyBorder="1" applyAlignment="1">
      <alignment horizontal="center" vertical="center"/>
    </xf>
    <xf numFmtId="177" fontId="24" fillId="0" borderId="13" xfId="35" applyNumberFormat="1" applyFont="1" applyFill="1" applyBorder="1" applyAlignment="1">
      <alignment horizontal="center"/>
    </xf>
    <xf numFmtId="0" fontId="24" fillId="0" borderId="13" xfId="59" applyFont="1" applyFill="1" applyBorder="1" applyAlignment="1">
      <alignment horizontal="center"/>
      <protection/>
    </xf>
    <xf numFmtId="0" fontId="24" fillId="0" borderId="0" xfId="0" applyFont="1" applyAlignment="1">
      <alignment/>
    </xf>
    <xf numFmtId="0" fontId="146" fillId="0" borderId="13" xfId="0" applyFont="1" applyFill="1" applyBorder="1" applyAlignment="1">
      <alignment horizontal="center" vertical="center"/>
    </xf>
    <xf numFmtId="0" fontId="146" fillId="0" borderId="13" xfId="0" applyFont="1" applyFill="1" applyBorder="1" applyAlignment="1">
      <alignment horizontal="left" vertical="center" wrapText="1"/>
    </xf>
    <xf numFmtId="0" fontId="146" fillId="0" borderId="13" xfId="0" applyFont="1" applyFill="1" applyBorder="1" applyAlignment="1">
      <alignment horizontal="center"/>
    </xf>
    <xf numFmtId="0" fontId="146" fillId="0" borderId="13" xfId="59" applyFont="1" applyFill="1" applyBorder="1" applyAlignment="1">
      <alignment/>
      <protection/>
    </xf>
    <xf numFmtId="0" fontId="146" fillId="0" borderId="13" xfId="59" applyFont="1" applyFill="1" applyBorder="1" applyAlignment="1">
      <alignment horizontal="center"/>
      <protection/>
    </xf>
    <xf numFmtId="177" fontId="17" fillId="27" borderId="13" xfId="0" applyNumberFormat="1" applyFont="1" applyFill="1" applyBorder="1" applyAlignment="1">
      <alignment horizontal="center" vertical="center"/>
    </xf>
    <xf numFmtId="0" fontId="17" fillId="27" borderId="18" xfId="0" applyFont="1" applyFill="1" applyBorder="1" applyAlignment="1">
      <alignment horizontal="center"/>
    </xf>
    <xf numFmtId="0" fontId="17" fillId="27" borderId="18" xfId="0" applyFont="1" applyFill="1" applyBorder="1" applyAlignment="1">
      <alignment horizontal="center" vertical="center"/>
    </xf>
    <xf numFmtId="177" fontId="17" fillId="27" borderId="18" xfId="35" applyNumberFormat="1" applyFont="1" applyFill="1" applyBorder="1" applyAlignment="1">
      <alignment/>
    </xf>
    <xf numFmtId="177" fontId="24" fillId="27" borderId="18" xfId="35" applyNumberFormat="1" applyFont="1" applyFill="1" applyBorder="1" applyAlignment="1">
      <alignment/>
    </xf>
    <xf numFmtId="177" fontId="17" fillId="27" borderId="10" xfId="35" applyNumberFormat="1" applyFont="1" applyFill="1" applyBorder="1" applyAlignment="1">
      <alignment/>
    </xf>
    <xf numFmtId="0" fontId="17" fillId="27" borderId="10" xfId="0" applyFont="1" applyFill="1" applyBorder="1" applyAlignment="1">
      <alignment horizontal="center"/>
    </xf>
    <xf numFmtId="0" fontId="17" fillId="27" borderId="10" xfId="0" applyFont="1" applyFill="1" applyBorder="1" applyAlignment="1">
      <alignment horizontal="center" vertical="center"/>
    </xf>
    <xf numFmtId="177" fontId="24" fillId="27" borderId="10" xfId="35" applyNumberFormat="1" applyFont="1" applyFill="1" applyBorder="1" applyAlignment="1">
      <alignment/>
    </xf>
    <xf numFmtId="0" fontId="24" fillId="27" borderId="10" xfId="0" applyFont="1" applyFill="1" applyBorder="1" applyAlignment="1">
      <alignment horizontal="center"/>
    </xf>
    <xf numFmtId="0" fontId="24" fillId="27" borderId="10" xfId="0" applyFont="1" applyFill="1" applyBorder="1" applyAlignment="1">
      <alignment horizontal="center" vertical="center"/>
    </xf>
    <xf numFmtId="177" fontId="24" fillId="27" borderId="10" xfId="35" applyNumberFormat="1" applyFont="1" applyFill="1" applyBorder="1" applyAlignment="1">
      <alignment horizontal="center"/>
    </xf>
    <xf numFmtId="177" fontId="17" fillId="27" borderId="10" xfId="35" applyNumberFormat="1" applyFont="1" applyFill="1" applyBorder="1" applyAlignment="1">
      <alignment horizontal="center"/>
    </xf>
    <xf numFmtId="177" fontId="24" fillId="27" borderId="17" xfId="35" applyNumberFormat="1" applyFont="1" applyFill="1" applyBorder="1" applyAlignment="1">
      <alignment/>
    </xf>
    <xf numFmtId="0" fontId="24" fillId="27" borderId="11" xfId="0" applyFont="1" applyFill="1" applyBorder="1" applyAlignment="1">
      <alignment horizontal="center"/>
    </xf>
    <xf numFmtId="0" fontId="24" fillId="27" borderId="11" xfId="0" applyFont="1" applyFill="1" applyBorder="1" applyAlignment="1">
      <alignment/>
    </xf>
    <xf numFmtId="177" fontId="24" fillId="27" borderId="11" xfId="0" applyNumberFormat="1" applyFont="1" applyFill="1" applyBorder="1" applyAlignment="1">
      <alignment/>
    </xf>
    <xf numFmtId="0" fontId="96" fillId="0" borderId="13" xfId="0" applyFont="1" applyBorder="1" applyAlignment="1">
      <alignment horizontal="center"/>
    </xf>
    <xf numFmtId="0" fontId="96" fillId="0" borderId="11" xfId="0" applyFont="1" applyBorder="1" applyAlignment="1">
      <alignment horizontal="center" vertical="center"/>
    </xf>
    <xf numFmtId="0" fontId="96" fillId="0" borderId="15" xfId="0" applyFont="1" applyBorder="1" applyAlignment="1">
      <alignment horizontal="center" vertical="center" wrapText="1"/>
    </xf>
    <xf numFmtId="0" fontId="96" fillId="27" borderId="15" xfId="0" applyFont="1" applyFill="1" applyBorder="1" applyAlignment="1">
      <alignment horizontal="center" vertical="center" wrapText="1"/>
    </xf>
    <xf numFmtId="0" fontId="24" fillId="27" borderId="0" xfId="0" applyFont="1" applyFill="1" applyAlignment="1">
      <alignment/>
    </xf>
    <xf numFmtId="0" fontId="24" fillId="27" borderId="11" xfId="0" applyFont="1" applyFill="1" applyBorder="1" applyAlignment="1">
      <alignment horizontal="center" vertical="center"/>
    </xf>
    <xf numFmtId="0" fontId="96" fillId="0" borderId="13" xfId="0" applyFont="1" applyBorder="1" applyAlignment="1">
      <alignment/>
    </xf>
    <xf numFmtId="0" fontId="96" fillId="0" borderId="13" xfId="0" applyFont="1" applyBorder="1" applyAlignment="1">
      <alignment horizontal="right"/>
    </xf>
    <xf numFmtId="0" fontId="96" fillId="0" borderId="12" xfId="0" applyFont="1" applyBorder="1" applyAlignment="1">
      <alignment/>
    </xf>
    <xf numFmtId="172" fontId="96" fillId="0" borderId="16" xfId="0" applyNumberFormat="1" applyFont="1" applyBorder="1" applyAlignment="1">
      <alignment/>
    </xf>
    <xf numFmtId="0" fontId="96" fillId="0" borderId="16" xfId="0" applyFont="1" applyBorder="1" applyAlignment="1">
      <alignment horizontal="center"/>
    </xf>
    <xf numFmtId="193" fontId="17" fillId="26" borderId="11" xfId="47" applyNumberFormat="1" applyFont="1" applyFill="1" applyBorder="1" applyAlignment="1">
      <alignment horizontal="right" vertical="center"/>
    </xf>
    <xf numFmtId="0" fontId="58" fillId="0" borderId="13" xfId="0" applyFont="1" applyBorder="1" applyAlignment="1">
      <alignment/>
    </xf>
    <xf numFmtId="0" fontId="58" fillId="0" borderId="13" xfId="0" applyFont="1" applyBorder="1" applyAlignment="1">
      <alignment horizontal="right"/>
    </xf>
    <xf numFmtId="0" fontId="58" fillId="0" borderId="13" xfId="0" applyFont="1" applyBorder="1" applyAlignment="1">
      <alignment horizontal="center"/>
    </xf>
    <xf numFmtId="0" fontId="58" fillId="0" borderId="13" xfId="0" applyFont="1" applyBorder="1" applyAlignment="1">
      <alignment horizontal="right" vertical="center"/>
    </xf>
    <xf numFmtId="0" fontId="96" fillId="0" borderId="13" xfId="0" applyFont="1" applyBorder="1" applyAlignment="1">
      <alignment horizontal="left"/>
    </xf>
    <xf numFmtId="0" fontId="58" fillId="0" borderId="13" xfId="0" applyFont="1" applyBorder="1" applyAlignment="1">
      <alignment horizontal="left"/>
    </xf>
    <xf numFmtId="0" fontId="58" fillId="0" borderId="0" xfId="0" applyFont="1" applyAlignment="1">
      <alignment/>
    </xf>
    <xf numFmtId="173" fontId="87" fillId="27" borderId="13" xfId="39" applyNumberFormat="1" applyFont="1" applyFill="1" applyBorder="1" applyAlignment="1">
      <alignment/>
    </xf>
    <xf numFmtId="9" fontId="24" fillId="27" borderId="13" xfId="0" applyNumberFormat="1" applyFont="1" applyFill="1" applyBorder="1" applyAlignment="1">
      <alignment/>
    </xf>
    <xf numFmtId="173" fontId="24" fillId="0" borderId="13" xfId="42" applyNumberFormat="1" applyFont="1" applyBorder="1" applyAlignment="1">
      <alignment horizontal="right" vertical="center" wrapText="1"/>
    </xf>
    <xf numFmtId="173" fontId="24" fillId="27" borderId="13" xfId="42" applyNumberFormat="1" applyFont="1" applyFill="1" applyBorder="1" applyAlignment="1">
      <alignment horizontal="right" vertical="center" wrapText="1"/>
    </xf>
    <xf numFmtId="177" fontId="24" fillId="27" borderId="13" xfId="0" applyNumberFormat="1" applyFont="1" applyFill="1" applyBorder="1" applyAlignment="1">
      <alignment horizontal="right" vertical="center" wrapText="1"/>
    </xf>
    <xf numFmtId="0" fontId="24" fillId="27" borderId="13" xfId="0" applyFont="1" applyFill="1" applyBorder="1" applyAlignment="1">
      <alignment vertical="center" wrapText="1"/>
    </xf>
    <xf numFmtId="177" fontId="24" fillId="27" borderId="13" xfId="0" applyNumberFormat="1" applyFont="1" applyFill="1" applyBorder="1" applyAlignment="1">
      <alignment vertical="center" wrapText="1"/>
    </xf>
    <xf numFmtId="173" fontId="24" fillId="0" borderId="13" xfId="38" applyNumberFormat="1" applyFont="1" applyBorder="1" applyAlignment="1">
      <alignment horizontal="right" vertical="center" wrapText="1"/>
    </xf>
    <xf numFmtId="173" fontId="24" fillId="27" borderId="13" xfId="38" applyNumberFormat="1" applyFont="1" applyFill="1" applyBorder="1" applyAlignment="1">
      <alignment horizontal="right" vertical="center" wrapText="1"/>
    </xf>
    <xf numFmtId="0" fontId="24" fillId="27" borderId="13" xfId="0" applyFont="1" applyFill="1" applyBorder="1" applyAlignment="1">
      <alignment horizontal="right" vertical="center" wrapText="1"/>
    </xf>
    <xf numFmtId="0" fontId="22" fillId="26" borderId="13" xfId="0" applyFont="1" applyFill="1" applyBorder="1" applyAlignment="1">
      <alignment horizontal="right" vertical="center"/>
    </xf>
    <xf numFmtId="1" fontId="22" fillId="26" borderId="13" xfId="0" applyNumberFormat="1" applyFont="1" applyFill="1" applyBorder="1" applyAlignment="1">
      <alignment horizontal="right" vertical="center"/>
    </xf>
    <xf numFmtId="173" fontId="22" fillId="0" borderId="13" xfId="41" applyNumberFormat="1" applyFont="1" applyFill="1" applyBorder="1" applyAlignment="1">
      <alignment vertical="center"/>
    </xf>
    <xf numFmtId="0" fontId="24" fillId="28" borderId="13" xfId="0" applyFont="1" applyFill="1" applyBorder="1" applyAlignment="1">
      <alignment horizontal="left" vertical="center" wrapText="1"/>
    </xf>
    <xf numFmtId="0" fontId="24" fillId="0" borderId="13" xfId="0" applyFont="1" applyFill="1" applyBorder="1" applyAlignment="1">
      <alignment horizontal="right" wrapText="1"/>
    </xf>
    <xf numFmtId="177" fontId="24" fillId="27" borderId="13" xfId="46" applyNumberFormat="1" applyFont="1" applyFill="1" applyBorder="1" applyAlignment="1">
      <alignment vertical="center" wrapText="1"/>
    </xf>
    <xf numFmtId="173" fontId="24" fillId="0" borderId="13" xfId="38" applyNumberFormat="1" applyFont="1" applyFill="1" applyBorder="1" applyAlignment="1">
      <alignment horizontal="right" vertical="center" wrapText="1"/>
    </xf>
    <xf numFmtId="0" fontId="24" fillId="29" borderId="13" xfId="0" applyFont="1" applyFill="1" applyBorder="1" applyAlignment="1">
      <alignment horizontal="right" vertical="center" wrapText="1"/>
    </xf>
    <xf numFmtId="173" fontId="24" fillId="28" borderId="13" xfId="38" applyNumberFormat="1" applyFont="1" applyFill="1" applyBorder="1" applyAlignment="1">
      <alignment horizontal="right" vertical="center" wrapText="1"/>
    </xf>
    <xf numFmtId="0" fontId="22" fillId="0" borderId="13" xfId="0" applyFont="1" applyFill="1" applyBorder="1" applyAlignment="1">
      <alignment horizontal="right" wrapText="1"/>
    </xf>
    <xf numFmtId="0" fontId="24" fillId="0" borderId="13" xfId="66" applyFont="1" applyFill="1" applyBorder="1" applyAlignment="1">
      <alignment vertical="center"/>
      <protection/>
    </xf>
    <xf numFmtId="0" fontId="24" fillId="0" borderId="13" xfId="66" applyFont="1" applyFill="1" applyBorder="1" applyAlignment="1">
      <alignment horizontal="right" vertical="center"/>
      <protection/>
    </xf>
    <xf numFmtId="0" fontId="24" fillId="27" borderId="13" xfId="66" applyFont="1" applyFill="1" applyBorder="1" applyAlignment="1">
      <alignment vertical="center"/>
      <protection/>
    </xf>
    <xf numFmtId="173" fontId="24" fillId="0" borderId="13" xfId="41" applyNumberFormat="1" applyFont="1" applyBorder="1" applyAlignment="1">
      <alignment horizontal="center" vertical="center"/>
    </xf>
    <xf numFmtId="0" fontId="113" fillId="0" borderId="13" xfId="41" applyNumberFormat="1" applyFont="1" applyBorder="1" applyAlignment="1">
      <alignment vertical="center"/>
    </xf>
    <xf numFmtId="177" fontId="24" fillId="27" borderId="13" xfId="41" applyNumberFormat="1" applyFont="1" applyFill="1" applyBorder="1" applyAlignment="1">
      <alignment horizontal="center" vertical="center"/>
    </xf>
    <xf numFmtId="0" fontId="24" fillId="0" borderId="13" xfId="0" applyFont="1" applyBorder="1" applyAlignment="1">
      <alignment vertical="center"/>
    </xf>
    <xf numFmtId="0" fontId="24" fillId="0" borderId="13" xfId="0" applyFont="1" applyFill="1" applyBorder="1" applyAlignment="1">
      <alignment horizontal="left" wrapText="1"/>
    </xf>
    <xf numFmtId="173" fontId="24" fillId="29" borderId="13" xfId="38" applyNumberFormat="1" applyFont="1" applyFill="1" applyBorder="1" applyAlignment="1">
      <alignment horizontal="right" vertical="center" wrapText="1"/>
    </xf>
    <xf numFmtId="177" fontId="24" fillId="27" borderId="13" xfId="46" applyNumberFormat="1" applyFont="1" applyFill="1" applyBorder="1" applyAlignment="1">
      <alignment horizontal="right" vertical="center" wrapText="1"/>
    </xf>
    <xf numFmtId="0" fontId="24" fillId="0" borderId="13" xfId="0" applyFont="1" applyFill="1" applyBorder="1" applyAlignment="1">
      <alignment vertical="center"/>
    </xf>
    <xf numFmtId="177" fontId="24" fillId="27" borderId="13" xfId="46" applyNumberFormat="1" applyFont="1" applyFill="1" applyBorder="1" applyAlignment="1">
      <alignment horizontal="center" vertical="center"/>
    </xf>
    <xf numFmtId="0" fontId="24" fillId="0" borderId="13" xfId="41" applyNumberFormat="1" applyFont="1" applyBorder="1" applyAlignment="1">
      <alignment vertical="center"/>
    </xf>
    <xf numFmtId="0" fontId="22" fillId="26" borderId="13" xfId="0" applyFont="1" applyFill="1" applyBorder="1" applyAlignment="1">
      <alignment vertical="center"/>
    </xf>
    <xf numFmtId="0" fontId="24" fillId="27" borderId="13" xfId="0" applyFont="1" applyFill="1" applyBorder="1" applyAlignment="1">
      <alignment horizontal="right" vertical="center"/>
    </xf>
    <xf numFmtId="0" fontId="24" fillId="0" borderId="13" xfId="0" applyFont="1" applyFill="1" applyBorder="1" applyAlignment="1">
      <alignment horizontal="right" vertical="center" wrapText="1"/>
    </xf>
    <xf numFmtId="0" fontId="24" fillId="0" borderId="13" xfId="0" applyFont="1" applyFill="1" applyBorder="1" applyAlignment="1">
      <alignment vertical="center" wrapText="1"/>
    </xf>
    <xf numFmtId="177" fontId="24" fillId="27" borderId="13" xfId="46" applyNumberFormat="1" applyFont="1" applyFill="1" applyBorder="1" applyAlignment="1">
      <alignment horizontal="right" wrapText="1"/>
    </xf>
    <xf numFmtId="0" fontId="24" fillId="27" borderId="13" xfId="0" applyFont="1" applyFill="1" applyBorder="1" applyAlignment="1">
      <alignment horizontal="right" wrapText="1"/>
    </xf>
    <xf numFmtId="0" fontId="24" fillId="27" borderId="13" xfId="0" applyFont="1" applyFill="1" applyBorder="1" applyAlignment="1">
      <alignment horizontal="left" wrapText="1"/>
    </xf>
    <xf numFmtId="173" fontId="147" fillId="0" borderId="13" xfId="46" applyNumberFormat="1" applyFont="1" applyFill="1" applyBorder="1" applyAlignment="1">
      <alignment vertical="center"/>
    </xf>
    <xf numFmtId="0" fontId="147" fillId="0" borderId="13" xfId="0" applyFont="1" applyFill="1" applyBorder="1" applyAlignment="1">
      <alignment vertical="center"/>
    </xf>
    <xf numFmtId="0" fontId="148" fillId="0" borderId="13" xfId="0" applyFont="1" applyBorder="1" applyAlignment="1">
      <alignment vertical="center"/>
    </xf>
    <xf numFmtId="0" fontId="149" fillId="0" borderId="13" xfId="0" applyFont="1" applyFill="1" applyBorder="1" applyAlignment="1">
      <alignment vertical="center" wrapText="1"/>
    </xf>
    <xf numFmtId="173" fontId="22" fillId="27" borderId="13" xfId="46" applyNumberFormat="1" applyFont="1" applyFill="1" applyBorder="1" applyAlignment="1">
      <alignment horizontal="right" vertical="center"/>
    </xf>
    <xf numFmtId="177" fontId="98" fillId="0" borderId="13" xfId="35" applyNumberFormat="1" applyFont="1" applyBorder="1" applyAlignment="1">
      <alignment horizontal="center" vertical="center" wrapText="1"/>
    </xf>
    <xf numFmtId="171" fontId="98" fillId="0" borderId="13" xfId="35" applyNumberFormat="1" applyFont="1" applyFill="1" applyBorder="1" applyAlignment="1">
      <alignment horizontal="center" vertical="center" wrapText="1"/>
    </xf>
    <xf numFmtId="0" fontId="150" fillId="0" borderId="13" xfId="73" applyFont="1" applyBorder="1" applyAlignment="1">
      <alignment horizontal="center" vertical="center"/>
      <protection/>
    </xf>
    <xf numFmtId="0" fontId="150" fillId="0" borderId="13" xfId="73" applyFont="1" applyBorder="1" applyAlignment="1">
      <alignment horizontal="left" vertical="center" wrapText="1"/>
      <protection/>
    </xf>
    <xf numFmtId="1" fontId="151" fillId="0" borderId="13" xfId="73" applyNumberFormat="1" applyFont="1" applyBorder="1" applyAlignment="1">
      <alignment horizontal="center" vertical="center" wrapText="1"/>
      <protection/>
    </xf>
    <xf numFmtId="176" fontId="151" fillId="0" borderId="13" xfId="38" applyNumberFormat="1" applyFont="1" applyBorder="1" applyAlignment="1">
      <alignment vertical="center" wrapText="1"/>
    </xf>
    <xf numFmtId="197" fontId="151" fillId="0" borderId="13" xfId="73" applyNumberFormat="1" applyFont="1" applyFill="1" applyBorder="1" applyAlignment="1">
      <alignment horizontal="center" vertical="center" wrapText="1"/>
      <protection/>
    </xf>
    <xf numFmtId="0" fontId="120" fillId="0" borderId="13" xfId="73" applyFont="1" applyBorder="1" applyAlignment="1">
      <alignment horizontal="left" vertical="center"/>
      <protection/>
    </xf>
    <xf numFmtId="49" fontId="118" fillId="0" borderId="13" xfId="73" applyNumberFormat="1" applyFont="1" applyBorder="1" applyAlignment="1">
      <alignment horizontal="left" vertical="center"/>
      <protection/>
    </xf>
    <xf numFmtId="49" fontId="121" fillId="0" borderId="13" xfId="73" applyNumberFormat="1" applyFont="1" applyBorder="1" applyAlignment="1">
      <alignment horizontal="center" vertical="center"/>
      <protection/>
    </xf>
    <xf numFmtId="49" fontId="121" fillId="0" borderId="13" xfId="73" applyNumberFormat="1" applyFont="1" applyFill="1" applyBorder="1" applyAlignment="1">
      <alignment horizontal="center" vertical="center"/>
      <protection/>
    </xf>
    <xf numFmtId="49" fontId="121" fillId="0" borderId="13" xfId="73" applyNumberFormat="1" applyFont="1" applyFill="1" applyBorder="1" applyAlignment="1" quotePrefix="1">
      <alignment horizontal="center" vertical="center"/>
      <protection/>
    </xf>
    <xf numFmtId="49" fontId="122" fillId="26" borderId="13" xfId="73" applyNumberFormat="1" applyFont="1" applyFill="1" applyBorder="1" applyAlignment="1" quotePrefix="1">
      <alignment horizontal="center" vertical="center"/>
      <protection/>
    </xf>
    <xf numFmtId="49" fontId="121" fillId="26" borderId="13" xfId="73" applyNumberFormat="1" applyFont="1" applyFill="1" applyBorder="1" applyAlignment="1" quotePrefix="1">
      <alignment horizontal="center" vertical="center"/>
      <protection/>
    </xf>
    <xf numFmtId="0" fontId="122" fillId="0" borderId="13" xfId="73" applyFont="1" applyBorder="1" applyAlignment="1">
      <alignment vertical="center"/>
      <protection/>
    </xf>
    <xf numFmtId="0" fontId="123" fillId="0" borderId="13" xfId="73" applyFont="1" applyBorder="1" applyAlignment="1">
      <alignment vertical="center"/>
      <protection/>
    </xf>
    <xf numFmtId="49" fontId="121" fillId="0" borderId="13" xfId="73" applyNumberFormat="1" applyFont="1" applyBorder="1" applyAlignment="1">
      <alignment vertical="center"/>
      <protection/>
    </xf>
    <xf numFmtId="49" fontId="121" fillId="0" borderId="13" xfId="73" applyNumberFormat="1" applyFont="1" applyFill="1" applyBorder="1" applyAlignment="1">
      <alignment vertical="center"/>
      <protection/>
    </xf>
    <xf numFmtId="49" fontId="118" fillId="0" borderId="13" xfId="73" applyNumberFormat="1" applyFont="1" applyFill="1" applyBorder="1" applyAlignment="1">
      <alignment vertical="center"/>
      <protection/>
    </xf>
    <xf numFmtId="0" fontId="100" fillId="0" borderId="13" xfId="73" applyFont="1" applyBorder="1" applyAlignment="1">
      <alignment horizontal="left" vertical="center"/>
      <protection/>
    </xf>
    <xf numFmtId="49" fontId="117" fillId="0" borderId="13" xfId="73" applyNumberFormat="1" applyFont="1" applyBorder="1" applyAlignment="1">
      <alignment horizontal="left" vertical="center"/>
      <protection/>
    </xf>
    <xf numFmtId="49" fontId="122" fillId="0" borderId="13" xfId="73" applyNumberFormat="1" applyFont="1" applyBorder="1" applyAlignment="1">
      <alignment horizontal="center" vertical="center"/>
      <protection/>
    </xf>
    <xf numFmtId="49" fontId="122" fillId="0" borderId="13" xfId="73" applyNumberFormat="1" applyFont="1" applyFill="1" applyBorder="1" applyAlignment="1">
      <alignment horizontal="center" vertical="center"/>
      <protection/>
    </xf>
    <xf numFmtId="49" fontId="122" fillId="0" borderId="13" xfId="73" applyNumberFormat="1" applyFont="1" applyFill="1" applyBorder="1" applyAlignment="1" quotePrefix="1">
      <alignment horizontal="center" vertical="center"/>
      <protection/>
    </xf>
    <xf numFmtId="0" fontId="28" fillId="0" borderId="13" xfId="73" applyFont="1" applyBorder="1" applyAlignment="1">
      <alignment horizontal="left" vertical="center"/>
      <protection/>
    </xf>
    <xf numFmtId="0" fontId="15" fillId="0" borderId="13" xfId="73" applyFont="1" applyBorder="1" applyAlignment="1">
      <alignment vertical="center"/>
      <protection/>
    </xf>
    <xf numFmtId="0" fontId="150" fillId="0" borderId="13" xfId="73" applyFont="1" applyFill="1" applyBorder="1" applyAlignment="1">
      <alignment horizontal="center" vertical="center"/>
      <protection/>
    </xf>
    <xf numFmtId="0" fontId="150" fillId="0" borderId="13" xfId="73" applyFont="1" applyFill="1" applyBorder="1" applyAlignment="1">
      <alignment horizontal="left" vertical="center" wrapText="1"/>
      <protection/>
    </xf>
    <xf numFmtId="1" fontId="151" fillId="0" borderId="13" xfId="73" applyNumberFormat="1" applyFont="1" applyFill="1" applyBorder="1" applyAlignment="1">
      <alignment horizontal="center" vertical="center" wrapText="1"/>
      <protection/>
    </xf>
    <xf numFmtId="176" fontId="151" fillId="0" borderId="13" xfId="38" applyNumberFormat="1" applyFont="1" applyFill="1" applyBorder="1" applyAlignment="1">
      <alignment vertical="center" wrapText="1"/>
    </xf>
    <xf numFmtId="0" fontId="100" fillId="0" borderId="13" xfId="73" applyFont="1" applyFill="1" applyBorder="1" applyAlignment="1">
      <alignment horizontal="left" vertical="center"/>
      <protection/>
    </xf>
    <xf numFmtId="49" fontId="117" fillId="0" borderId="13" xfId="73" applyNumberFormat="1" applyFont="1" applyFill="1" applyBorder="1" applyAlignment="1">
      <alignment horizontal="left" vertical="center"/>
      <protection/>
    </xf>
    <xf numFmtId="0" fontId="15" fillId="0" borderId="13" xfId="73" applyFont="1" applyFill="1" applyBorder="1" applyAlignment="1">
      <alignment vertical="center"/>
      <protection/>
    </xf>
    <xf numFmtId="49" fontId="116" fillId="26" borderId="13" xfId="73" applyNumberFormat="1" applyFont="1" applyFill="1" applyBorder="1" applyAlignment="1" quotePrefix="1">
      <alignment horizontal="center" vertical="center"/>
      <protection/>
    </xf>
    <xf numFmtId="49" fontId="122" fillId="26" borderId="13" xfId="73" applyNumberFormat="1" applyFont="1" applyFill="1" applyBorder="1" applyAlignment="1">
      <alignment vertical="center"/>
      <protection/>
    </xf>
    <xf numFmtId="49" fontId="122" fillId="26" borderId="13" xfId="73" applyNumberFormat="1" applyFont="1" applyFill="1" applyBorder="1" applyAlignment="1" quotePrefix="1">
      <alignment vertical="center"/>
      <protection/>
    </xf>
    <xf numFmtId="49" fontId="122" fillId="0" borderId="13" xfId="73" applyNumberFormat="1" applyFont="1" applyFill="1" applyBorder="1" applyAlignment="1">
      <alignment vertical="center"/>
      <protection/>
    </xf>
    <xf numFmtId="49" fontId="122" fillId="0" borderId="13" xfId="73" applyNumberFormat="1" applyFont="1" applyFill="1" applyBorder="1" applyAlignment="1" quotePrefix="1">
      <alignment vertical="center"/>
      <protection/>
    </xf>
    <xf numFmtId="1" fontId="150" fillId="26" borderId="13" xfId="70" applyNumberFormat="1" applyFont="1" applyFill="1" applyBorder="1" applyAlignment="1">
      <alignment vertical="center" wrapText="1"/>
      <protection/>
    </xf>
    <xf numFmtId="0" fontId="151" fillId="0" borderId="13" xfId="73" applyFont="1" applyBorder="1" applyAlignment="1">
      <alignment horizontal="center" vertical="center" wrapText="1"/>
      <protection/>
    </xf>
    <xf numFmtId="0" fontId="15" fillId="0" borderId="13" xfId="73" applyFont="1" applyFill="1" applyBorder="1" applyAlignment="1" quotePrefix="1">
      <alignment vertical="center"/>
      <protection/>
    </xf>
    <xf numFmtId="1" fontId="150" fillId="0" borderId="13" xfId="70" applyNumberFormat="1" applyFont="1" applyFill="1" applyBorder="1" applyAlignment="1">
      <alignment vertical="center" wrapText="1"/>
      <protection/>
    </xf>
    <xf numFmtId="1" fontId="150" fillId="0" borderId="13" xfId="73" applyNumberFormat="1" applyFont="1" applyBorder="1" applyAlignment="1">
      <alignment horizontal="left" vertical="center" wrapText="1"/>
      <protection/>
    </xf>
    <xf numFmtId="0" fontId="52" fillId="0" borderId="13" xfId="73" applyFont="1" applyBorder="1" applyAlignment="1">
      <alignment horizontal="center" vertical="center"/>
      <protection/>
    </xf>
    <xf numFmtId="1" fontId="28" fillId="0" borderId="13" xfId="73" applyNumberFormat="1" applyFont="1" applyBorder="1" applyAlignment="1">
      <alignment horizontal="left" vertical="center" wrapText="1"/>
      <protection/>
    </xf>
    <xf numFmtId="173" fontId="15" fillId="0" borderId="13" xfId="73" applyNumberFormat="1" applyFont="1" applyBorder="1" applyAlignment="1">
      <alignment vertical="center"/>
      <protection/>
    </xf>
    <xf numFmtId="177" fontId="124" fillId="0" borderId="13" xfId="73" applyNumberFormat="1" applyFont="1" applyBorder="1" applyAlignment="1">
      <alignment vertical="center"/>
      <protection/>
    </xf>
    <xf numFmtId="180" fontId="124" fillId="0" borderId="13" xfId="73" applyNumberFormat="1" applyFont="1" applyFill="1" applyBorder="1" applyAlignment="1">
      <alignment vertical="center"/>
      <protection/>
    </xf>
    <xf numFmtId="0" fontId="19" fillId="0" borderId="13" xfId="73" applyFont="1" applyBorder="1" applyAlignment="1">
      <alignment vertical="center"/>
      <protection/>
    </xf>
    <xf numFmtId="0" fontId="15" fillId="26" borderId="13" xfId="73" applyFont="1" applyFill="1" applyBorder="1" applyAlignment="1">
      <alignment vertical="center"/>
      <protection/>
    </xf>
    <xf numFmtId="0" fontId="122" fillId="26" borderId="13" xfId="73" applyFont="1" applyFill="1" applyBorder="1" applyAlignment="1">
      <alignment vertical="center"/>
      <protection/>
    </xf>
    <xf numFmtId="0" fontId="19" fillId="0" borderId="0" xfId="73" applyFont="1" applyAlignment="1">
      <alignment vertical="center"/>
      <protection/>
    </xf>
    <xf numFmtId="173" fontId="19" fillId="0" borderId="0" xfId="73" applyNumberFormat="1" applyFont="1" applyAlignment="1">
      <alignment vertical="center"/>
      <protection/>
    </xf>
    <xf numFmtId="0" fontId="19" fillId="0" borderId="0" xfId="73" applyFont="1" applyFill="1" applyAlignment="1">
      <alignment vertical="center"/>
      <protection/>
    </xf>
    <xf numFmtId="0" fontId="19" fillId="0" borderId="0" xfId="73" applyFont="1" applyAlignment="1" quotePrefix="1">
      <alignment vertical="center"/>
      <protection/>
    </xf>
    <xf numFmtId="0" fontId="19" fillId="0" borderId="0" xfId="73" applyFont="1" applyAlignment="1" quotePrefix="1">
      <alignment vertical="center"/>
      <protection/>
    </xf>
    <xf numFmtId="0" fontId="100" fillId="0" borderId="13" xfId="73" applyFont="1" applyBorder="1" applyAlignment="1">
      <alignment horizontal="center" vertical="center" wrapText="1"/>
      <protection/>
    </xf>
    <xf numFmtId="0" fontId="17" fillId="0" borderId="13" xfId="66" applyFont="1" applyBorder="1" applyAlignment="1">
      <alignment horizontal="center"/>
      <protection/>
    </xf>
    <xf numFmtId="173" fontId="17" fillId="0" borderId="13" xfId="43" applyNumberFormat="1" applyFont="1" applyBorder="1" applyAlignment="1">
      <alignment/>
    </xf>
    <xf numFmtId="171" fontId="17" fillId="0" borderId="13" xfId="43" applyNumberFormat="1" applyFont="1" applyBorder="1" applyAlignment="1">
      <alignment/>
    </xf>
    <xf numFmtId="1" fontId="0" fillId="0" borderId="0" xfId="0" applyNumberFormat="1" applyFont="1" applyAlignment="1">
      <alignment/>
    </xf>
    <xf numFmtId="173" fontId="0" fillId="0" borderId="0" xfId="0" applyNumberFormat="1" applyFont="1" applyAlignment="1">
      <alignment/>
    </xf>
    <xf numFmtId="198" fontId="0" fillId="0" borderId="0" xfId="0" applyNumberFormat="1" applyFont="1" applyAlignment="1">
      <alignment/>
    </xf>
    <xf numFmtId="177" fontId="22" fillId="0" borderId="13" xfId="46" applyNumberFormat="1" applyFont="1" applyFill="1" applyBorder="1" applyAlignment="1">
      <alignment/>
    </xf>
    <xf numFmtId="0" fontId="34" fillId="0" borderId="10" xfId="0" applyFont="1" applyBorder="1" applyAlignment="1">
      <alignment horizontal="center"/>
    </xf>
    <xf numFmtId="0" fontId="34" fillId="0" borderId="14" xfId="0" applyFont="1" applyBorder="1" applyAlignment="1">
      <alignment/>
    </xf>
    <xf numFmtId="0" fontId="34" fillId="0" borderId="13" xfId="0" applyFont="1" applyBorder="1" applyAlignment="1">
      <alignment/>
    </xf>
    <xf numFmtId="178" fontId="34" fillId="0" borderId="10" xfId="0" applyNumberFormat="1" applyFont="1" applyBorder="1" applyAlignment="1">
      <alignment horizontal="right"/>
    </xf>
    <xf numFmtId="0" fontId="95" fillId="0" borderId="11" xfId="0" applyFont="1" applyBorder="1" applyAlignment="1">
      <alignment/>
    </xf>
    <xf numFmtId="0" fontId="95" fillId="0" borderId="0" xfId="0" applyFont="1" applyAlignment="1">
      <alignment/>
    </xf>
    <xf numFmtId="0" fontId="108" fillId="0" borderId="10" xfId="0" applyFont="1" applyBorder="1" applyAlignment="1">
      <alignment horizontal="center"/>
    </xf>
    <xf numFmtId="0" fontId="108" fillId="27" borderId="10" xfId="0" applyFont="1" applyFill="1" applyBorder="1" applyAlignment="1">
      <alignment horizontal="center"/>
    </xf>
    <xf numFmtId="191" fontId="95" fillId="0" borderId="0" xfId="0" applyNumberFormat="1" applyFont="1" applyAlignment="1">
      <alignment/>
    </xf>
    <xf numFmtId="0" fontId="18" fillId="0" borderId="0" xfId="0" applyFont="1" applyBorder="1" applyAlignment="1">
      <alignment horizontal="centerContinuous" vertical="center" wrapText="1"/>
    </xf>
    <xf numFmtId="0" fontId="125" fillId="16" borderId="13" xfId="0" applyFont="1" applyFill="1" applyBorder="1" applyAlignment="1">
      <alignment horizontal="center" vertical="center" wrapText="1"/>
    </xf>
    <xf numFmtId="0" fontId="125" fillId="16" borderId="13" xfId="0" applyFont="1" applyFill="1" applyBorder="1" applyAlignment="1">
      <alignment horizontal="left" vertical="center" wrapText="1"/>
    </xf>
    <xf numFmtId="173" fontId="125" fillId="16" borderId="13" xfId="46" applyNumberFormat="1" applyFont="1" applyFill="1" applyBorder="1" applyAlignment="1" quotePrefix="1">
      <alignment horizontal="center" vertical="center" wrapText="1"/>
    </xf>
    <xf numFmtId="0" fontId="125" fillId="0" borderId="13" xfId="0" applyFont="1" applyBorder="1" applyAlignment="1">
      <alignment horizontal="center" vertical="center" wrapText="1"/>
    </xf>
    <xf numFmtId="0" fontId="125" fillId="0" borderId="13" xfId="0" applyFont="1" applyBorder="1" applyAlignment="1">
      <alignment horizontal="left" vertical="center" wrapText="1"/>
    </xf>
    <xf numFmtId="173" fontId="125" fillId="0" borderId="13" xfId="46" applyNumberFormat="1" applyFont="1" applyBorder="1" applyAlignment="1">
      <alignment horizontal="right" vertical="center" wrapText="1"/>
    </xf>
    <xf numFmtId="0" fontId="102" fillId="0" borderId="18" xfId="0" applyFont="1" applyBorder="1" applyAlignment="1">
      <alignment horizontal="center" vertical="center" wrapText="1"/>
    </xf>
    <xf numFmtId="0" fontId="102" fillId="0" borderId="18" xfId="0" applyFont="1" applyBorder="1" applyAlignment="1">
      <alignment horizontal="left" vertical="center" wrapText="1"/>
    </xf>
    <xf numFmtId="173" fontId="102" fillId="0" borderId="18" xfId="46" applyNumberFormat="1" applyFont="1" applyFill="1" applyBorder="1" applyAlignment="1">
      <alignment horizontal="right" vertical="center" wrapText="1"/>
    </xf>
    <xf numFmtId="0" fontId="102" fillId="27" borderId="10" xfId="0" applyFont="1" applyFill="1" applyBorder="1" applyAlignment="1">
      <alignment horizontal="center" vertical="center" wrapText="1"/>
    </xf>
    <xf numFmtId="0" fontId="102" fillId="27" borderId="10" xfId="0" applyFont="1" applyFill="1" applyBorder="1" applyAlignment="1">
      <alignment horizontal="left" vertical="center" wrapText="1"/>
    </xf>
    <xf numFmtId="3" fontId="1" fillId="27" borderId="10" xfId="87" applyNumberFormat="1" applyFont="1" applyFill="1" applyBorder="1" applyAlignment="1">
      <alignment vertical="center"/>
    </xf>
    <xf numFmtId="173" fontId="102" fillId="27" borderId="10" xfId="46" applyNumberFormat="1" applyFont="1" applyFill="1" applyBorder="1" applyAlignment="1">
      <alignment horizontal="right" vertical="center" wrapText="1"/>
    </xf>
    <xf numFmtId="3" fontId="1" fillId="27" borderId="10" xfId="0" applyNumberFormat="1" applyFont="1" applyFill="1" applyBorder="1" applyAlignment="1">
      <alignment vertical="center"/>
    </xf>
    <xf numFmtId="0" fontId="102" fillId="27" borderId="17" xfId="0" applyFont="1" applyFill="1" applyBorder="1" applyAlignment="1">
      <alignment horizontal="center" vertical="center" wrapText="1"/>
    </xf>
    <xf numFmtId="0" fontId="102" fillId="27" borderId="17" xfId="0" applyFont="1" applyFill="1" applyBorder="1" applyAlignment="1">
      <alignment horizontal="left" vertical="center" wrapText="1"/>
    </xf>
    <xf numFmtId="171" fontId="102" fillId="27" borderId="17" xfId="46" applyNumberFormat="1" applyFont="1" applyFill="1" applyBorder="1" applyAlignment="1">
      <alignment horizontal="right" vertical="center" wrapText="1"/>
    </xf>
    <xf numFmtId="0" fontId="125" fillId="27" borderId="13" xfId="0" applyFont="1" applyFill="1" applyBorder="1" applyAlignment="1">
      <alignment horizontal="center" vertical="center" wrapText="1"/>
    </xf>
    <xf numFmtId="0" fontId="125" fillId="27" borderId="13" xfId="0" applyFont="1" applyFill="1" applyBorder="1" applyAlignment="1">
      <alignment horizontal="left" vertical="center" wrapText="1"/>
    </xf>
    <xf numFmtId="173" fontId="125" fillId="27" borderId="13" xfId="46" applyNumberFormat="1" applyFont="1" applyFill="1" applyBorder="1" applyAlignment="1">
      <alignment horizontal="right" vertical="center" wrapText="1"/>
    </xf>
    <xf numFmtId="0" fontId="125" fillId="0" borderId="18" xfId="0" applyFont="1" applyBorder="1" applyAlignment="1">
      <alignment horizontal="center" vertical="center" wrapText="1"/>
    </xf>
    <xf numFmtId="0" fontId="125" fillId="27" borderId="10" xfId="0" applyFont="1" applyFill="1" applyBorder="1" applyAlignment="1">
      <alignment horizontal="center" vertical="center" wrapText="1"/>
    </xf>
    <xf numFmtId="0" fontId="125" fillId="0" borderId="10" xfId="0" applyFont="1" applyBorder="1" applyAlignment="1">
      <alignment horizontal="center" vertical="center" wrapText="1"/>
    </xf>
    <xf numFmtId="0" fontId="102" fillId="0" borderId="10" xfId="0" applyFont="1" applyBorder="1" applyAlignment="1">
      <alignment horizontal="left" vertical="center" wrapText="1"/>
    </xf>
    <xf numFmtId="171" fontId="102" fillId="0" borderId="10" xfId="46" applyNumberFormat="1" applyFont="1" applyFill="1" applyBorder="1" applyAlignment="1">
      <alignment horizontal="right" vertical="center" wrapText="1"/>
    </xf>
    <xf numFmtId="177" fontId="102" fillId="27" borderId="10" xfId="46" applyNumberFormat="1" applyFont="1" applyFill="1" applyBorder="1" applyAlignment="1">
      <alignment horizontal="right" vertical="center" wrapText="1"/>
    </xf>
    <xf numFmtId="173" fontId="102" fillId="0" borderId="10" xfId="46" applyNumberFormat="1" applyFont="1" applyFill="1" applyBorder="1" applyAlignment="1">
      <alignment horizontal="right" vertical="center" wrapText="1"/>
    </xf>
    <xf numFmtId="177" fontId="102" fillId="0" borderId="10" xfId="46" applyNumberFormat="1" applyFont="1" applyFill="1" applyBorder="1" applyAlignment="1">
      <alignment horizontal="right" vertical="center" wrapText="1"/>
    </xf>
    <xf numFmtId="0" fontId="125" fillId="27" borderId="17" xfId="0" applyFont="1" applyFill="1" applyBorder="1" applyAlignment="1">
      <alignment horizontal="center" vertical="center" wrapText="1"/>
    </xf>
    <xf numFmtId="177" fontId="102" fillId="27" borderId="17" xfId="46" applyNumberFormat="1" applyFont="1" applyFill="1" applyBorder="1" applyAlignment="1">
      <alignment horizontal="right" vertical="center" wrapText="1"/>
    </xf>
    <xf numFmtId="4" fontId="1" fillId="0" borderId="13" xfId="0" applyNumberFormat="1" applyFont="1" applyBorder="1" applyAlignment="1">
      <alignment vertical="center"/>
    </xf>
    <xf numFmtId="173" fontId="102" fillId="0" borderId="18" xfId="38" applyNumberFormat="1" applyFont="1" applyFill="1" applyBorder="1" applyAlignment="1">
      <alignment horizontal="right" vertical="center" wrapText="1"/>
    </xf>
    <xf numFmtId="0" fontId="102" fillId="0" borderId="10" xfId="0" applyFont="1" applyBorder="1" applyAlignment="1">
      <alignment horizontal="center" vertical="center" wrapText="1"/>
    </xf>
    <xf numFmtId="173" fontId="102" fillId="0" borderId="10" xfId="38" applyNumberFormat="1" applyFont="1" applyFill="1" applyBorder="1" applyAlignment="1">
      <alignment horizontal="right" vertical="center" wrapText="1"/>
    </xf>
    <xf numFmtId="0" fontId="102" fillId="0" borderId="17" xfId="0" applyFont="1" applyBorder="1" applyAlignment="1">
      <alignment horizontal="center" vertical="center" wrapText="1"/>
    </xf>
    <xf numFmtId="0" fontId="102" fillId="0" borderId="17" xfId="0" applyFont="1" applyBorder="1" applyAlignment="1">
      <alignment horizontal="left" vertical="center" wrapText="1"/>
    </xf>
    <xf numFmtId="173" fontId="102" fillId="0" borderId="17" xfId="46" applyNumberFormat="1" applyFont="1" applyFill="1" applyBorder="1" applyAlignment="1">
      <alignment horizontal="right" vertical="center" wrapText="1"/>
    </xf>
    <xf numFmtId="173" fontId="102" fillId="27" borderId="13" xfId="46" applyNumberFormat="1" applyFont="1" applyFill="1" applyBorder="1" applyAlignment="1">
      <alignment horizontal="right" vertical="center" wrapText="1"/>
    </xf>
    <xf numFmtId="173" fontId="152" fillId="0" borderId="18" xfId="38" applyNumberFormat="1" applyFont="1" applyFill="1" applyBorder="1" applyAlignment="1">
      <alignment horizontal="right" vertical="center" wrapText="1"/>
    </xf>
    <xf numFmtId="173" fontId="152" fillId="26" borderId="10" xfId="38" applyNumberFormat="1" applyFont="1" applyFill="1" applyBorder="1" applyAlignment="1">
      <alignment horizontal="right" vertical="center" wrapText="1"/>
    </xf>
    <xf numFmtId="177" fontId="153" fillId="0" borderId="12" xfId="38" applyNumberFormat="1" applyFont="1" applyBorder="1" applyAlignment="1">
      <alignment vertical="center"/>
    </xf>
    <xf numFmtId="173" fontId="153" fillId="0" borderId="12" xfId="38" applyNumberFormat="1" applyFont="1" applyBorder="1" applyAlignment="1">
      <alignment vertical="center"/>
    </xf>
    <xf numFmtId="3" fontId="153" fillId="0" borderId="10" xfId="0" applyNumberFormat="1" applyFont="1" applyBorder="1" applyAlignment="1">
      <alignment vertical="center"/>
    </xf>
    <xf numFmtId="4" fontId="153" fillId="0" borderId="10" xfId="0" applyNumberFormat="1" applyFont="1" applyBorder="1" applyAlignment="1">
      <alignment vertical="center"/>
    </xf>
    <xf numFmtId="3" fontId="153" fillId="0" borderId="17" xfId="0" applyNumberFormat="1" applyFont="1" applyBorder="1" applyAlignment="1">
      <alignment vertical="center"/>
    </xf>
    <xf numFmtId="3" fontId="1" fillId="27" borderId="13" xfId="0" applyNumberFormat="1" applyFont="1" applyFill="1" applyBorder="1" applyAlignment="1">
      <alignment vertical="center"/>
    </xf>
    <xf numFmtId="0" fontId="102" fillId="27" borderId="18" xfId="0" applyFont="1" applyFill="1" applyBorder="1" applyAlignment="1">
      <alignment horizontal="center" vertical="center" wrapText="1"/>
    </xf>
    <xf numFmtId="0" fontId="102" fillId="27" borderId="18" xfId="0" applyFont="1" applyFill="1" applyBorder="1" applyAlignment="1">
      <alignment horizontal="left" vertical="center" wrapText="1"/>
    </xf>
    <xf numFmtId="3" fontId="102" fillId="0" borderId="18" xfId="0" applyNumberFormat="1" applyFont="1" applyFill="1" applyBorder="1" applyAlignment="1">
      <alignment vertical="center"/>
    </xf>
    <xf numFmtId="3" fontId="102" fillId="0" borderId="10" xfId="0" applyNumberFormat="1" applyFont="1" applyFill="1" applyBorder="1" applyAlignment="1">
      <alignment vertical="center"/>
    </xf>
    <xf numFmtId="172" fontId="102" fillId="0" borderId="10" xfId="0" applyNumberFormat="1" applyFont="1" applyFill="1" applyBorder="1" applyAlignment="1">
      <alignment vertical="center"/>
    </xf>
    <xf numFmtId="3" fontId="102" fillId="0" borderId="17" xfId="0" applyNumberFormat="1" applyFont="1" applyFill="1" applyBorder="1" applyAlignment="1">
      <alignment vertical="center"/>
    </xf>
    <xf numFmtId="3" fontId="102" fillId="26" borderId="10" xfId="0" applyNumberFormat="1" applyFont="1" applyFill="1" applyBorder="1" applyAlignment="1">
      <alignment vertical="center"/>
    </xf>
    <xf numFmtId="4" fontId="102" fillId="26" borderId="10" xfId="0" applyNumberFormat="1" applyFont="1" applyFill="1" applyBorder="1" applyAlignment="1">
      <alignment vertical="center"/>
    </xf>
    <xf numFmtId="172" fontId="102" fillId="26" borderId="17" xfId="0" applyNumberFormat="1" applyFont="1" applyFill="1" applyBorder="1" applyAlignment="1">
      <alignment vertical="center"/>
    </xf>
    <xf numFmtId="3" fontId="1" fillId="0" borderId="13" xfId="0" applyNumberFormat="1" applyFont="1" applyBorder="1" applyAlignment="1">
      <alignment vertical="center"/>
    </xf>
    <xf numFmtId="3" fontId="1" fillId="0" borderId="18" xfId="0" applyNumberFormat="1" applyFont="1" applyBorder="1" applyAlignment="1">
      <alignment vertical="center"/>
    </xf>
    <xf numFmtId="3" fontId="1" fillId="0" borderId="17" xfId="0" applyNumberFormat="1" applyFont="1" applyBorder="1" applyAlignment="1">
      <alignment vertical="center"/>
    </xf>
    <xf numFmtId="173" fontId="102" fillId="27" borderId="18" xfId="46" applyNumberFormat="1" applyFont="1" applyFill="1" applyBorder="1" applyAlignment="1">
      <alignment horizontal="right" vertical="center" wrapText="1"/>
    </xf>
    <xf numFmtId="173" fontId="102" fillId="0" borderId="10" xfId="37" applyNumberFormat="1" applyFont="1" applyBorder="1" applyAlignment="1">
      <alignment horizontal="right" vertical="center" wrapText="1"/>
    </xf>
    <xf numFmtId="173" fontId="102" fillId="27" borderId="17" xfId="46" applyNumberFormat="1" applyFont="1" applyFill="1" applyBorder="1" applyAlignment="1">
      <alignment horizontal="right" vertical="center" wrapText="1"/>
    </xf>
    <xf numFmtId="177" fontId="102" fillId="0" borderId="18" xfId="46" applyNumberFormat="1" applyFont="1" applyFill="1" applyBorder="1" applyAlignment="1">
      <alignment horizontal="right" vertical="center" wrapText="1"/>
    </xf>
    <xf numFmtId="0" fontId="102" fillId="0" borderId="12" xfId="0" applyFont="1" applyBorder="1" applyAlignment="1">
      <alignment horizontal="center" vertical="center" wrapText="1"/>
    </xf>
    <xf numFmtId="0" fontId="102" fillId="0" borderId="12" xfId="0" applyFont="1" applyBorder="1" applyAlignment="1">
      <alignment horizontal="left" vertical="center" wrapText="1"/>
    </xf>
    <xf numFmtId="173" fontId="102" fillId="0" borderId="12" xfId="46" applyNumberFormat="1" applyFont="1" applyBorder="1" applyAlignment="1">
      <alignment horizontal="right" vertical="center" wrapText="1"/>
    </xf>
    <xf numFmtId="0" fontId="102" fillId="27" borderId="12" xfId="0" applyFont="1" applyFill="1" applyBorder="1" applyAlignment="1">
      <alignment horizontal="center" vertical="center" wrapText="1"/>
    </xf>
    <xf numFmtId="0" fontId="102" fillId="27" borderId="12" xfId="0" applyFont="1" applyFill="1" applyBorder="1" applyAlignment="1">
      <alignment horizontal="left" vertical="center" wrapText="1"/>
    </xf>
    <xf numFmtId="37" fontId="102" fillId="27" borderId="12" xfId="46" applyNumberFormat="1" applyFont="1" applyFill="1" applyBorder="1" applyAlignment="1">
      <alignment horizontal="right" vertical="center" wrapText="1"/>
    </xf>
    <xf numFmtId="173" fontId="102" fillId="16" borderId="13" xfId="46" applyNumberFormat="1" applyFont="1" applyFill="1" applyBorder="1" applyAlignment="1">
      <alignment horizontal="right" vertical="center" wrapText="1"/>
    </xf>
    <xf numFmtId="0" fontId="125" fillId="0" borderId="18" xfId="0" applyFont="1" applyBorder="1" applyAlignment="1">
      <alignment horizontal="left" vertical="center" wrapText="1"/>
    </xf>
    <xf numFmtId="173" fontId="125" fillId="0" borderId="18" xfId="46" applyNumberFormat="1" applyFont="1" applyBorder="1" applyAlignment="1">
      <alignment horizontal="right" vertical="center" wrapText="1"/>
    </xf>
    <xf numFmtId="173" fontId="102" fillId="0" borderId="10" xfId="37" applyNumberFormat="1" applyFont="1" applyFill="1" applyBorder="1" applyAlignment="1">
      <alignment horizontal="right" vertical="center" wrapText="1"/>
    </xf>
    <xf numFmtId="173" fontId="102" fillId="0" borderId="17" xfId="37" applyNumberFormat="1" applyFont="1" applyBorder="1" applyAlignment="1">
      <alignment horizontal="right" vertical="center" wrapText="1"/>
    </xf>
    <xf numFmtId="49" fontId="125" fillId="0" borderId="18" xfId="37" applyNumberFormat="1" applyFont="1" applyBorder="1" applyAlignment="1">
      <alignment horizontal="right" vertical="center" wrapText="1"/>
    </xf>
    <xf numFmtId="49" fontId="102" fillId="0" borderId="18" xfId="37" applyNumberFormat="1" applyFont="1" applyBorder="1" applyAlignment="1">
      <alignment horizontal="right" vertical="center" wrapText="1"/>
    </xf>
    <xf numFmtId="173" fontId="102" fillId="0" borderId="13" xfId="37" applyNumberFormat="1" applyFont="1" applyBorder="1" applyAlignment="1">
      <alignment horizontal="right" vertical="center" wrapText="1"/>
    </xf>
    <xf numFmtId="173" fontId="102" fillId="26" borderId="18" xfId="48" applyNumberFormat="1" applyFont="1" applyFill="1" applyBorder="1" applyAlignment="1">
      <alignment horizontal="right" vertical="center" wrapText="1"/>
    </xf>
    <xf numFmtId="49" fontId="102" fillId="0" borderId="12" xfId="37" applyNumberFormat="1" applyFont="1" applyBorder="1" applyAlignment="1">
      <alignment horizontal="right" vertical="center" wrapText="1"/>
    </xf>
    <xf numFmtId="49" fontId="102" fillId="0" borderId="13" xfId="37" applyNumberFormat="1" applyFont="1" applyBorder="1" applyAlignment="1">
      <alignment horizontal="right" vertical="center" wrapText="1"/>
    </xf>
    <xf numFmtId="173" fontId="102" fillId="26" borderId="10" xfId="48" applyNumberFormat="1" applyFont="1" applyFill="1" applyBorder="1" applyAlignment="1">
      <alignment horizontal="right" vertical="center" wrapText="1"/>
    </xf>
    <xf numFmtId="173" fontId="102" fillId="26" borderId="17" xfId="38" applyNumberFormat="1" applyFont="1" applyFill="1" applyBorder="1" applyAlignment="1">
      <alignment horizontal="center" vertical="center" wrapText="1"/>
    </xf>
    <xf numFmtId="0" fontId="102" fillId="0" borderId="10" xfId="0" applyFont="1" applyBorder="1" applyAlignment="1">
      <alignment horizontal="right" vertical="center" wrapText="1"/>
    </xf>
    <xf numFmtId="173" fontId="102" fillId="26" borderId="17" xfId="48" applyNumberFormat="1" applyFont="1" applyFill="1" applyBorder="1" applyAlignment="1">
      <alignment horizontal="right" vertical="center" wrapText="1"/>
    </xf>
    <xf numFmtId="173" fontId="102" fillId="26" borderId="13" xfId="48" applyNumberFormat="1" applyFont="1" applyFill="1" applyBorder="1" applyAlignment="1">
      <alignment horizontal="right" vertical="center" wrapText="1"/>
    </xf>
    <xf numFmtId="0" fontId="102" fillId="0" borderId="14" xfId="0" applyFont="1" applyBorder="1" applyAlignment="1">
      <alignment horizontal="center" vertical="center" wrapText="1"/>
    </xf>
    <xf numFmtId="173" fontId="152" fillId="0" borderId="12" xfId="38" applyNumberFormat="1" applyFont="1" applyBorder="1" applyAlignment="1">
      <alignment horizontal="right" vertical="center" wrapText="1"/>
    </xf>
    <xf numFmtId="0" fontId="102" fillId="0" borderId="11" xfId="0" applyFont="1" applyBorder="1" applyAlignment="1">
      <alignment horizontal="center" vertical="center" wrapText="1"/>
    </xf>
    <xf numFmtId="173" fontId="102" fillId="26" borderId="13" xfId="38" applyNumberFormat="1" applyFont="1" applyFill="1" applyBorder="1" applyAlignment="1">
      <alignment horizontal="center" vertical="center" wrapText="1"/>
    </xf>
    <xf numFmtId="173" fontId="102" fillId="26" borderId="12" xfId="38" applyNumberFormat="1" applyFont="1" applyFill="1" applyBorder="1" applyAlignment="1">
      <alignment horizontal="center" vertical="center" wrapText="1"/>
    </xf>
    <xf numFmtId="173" fontId="102" fillId="0" borderId="13" xfId="46" applyNumberFormat="1" applyFont="1" applyBorder="1" applyAlignment="1">
      <alignment horizontal="right" vertical="center" wrapText="1"/>
    </xf>
    <xf numFmtId="173" fontId="102" fillId="0" borderId="10" xfId="46" applyNumberFormat="1" applyFont="1" applyBorder="1" applyAlignment="1">
      <alignment horizontal="right" vertical="center" wrapText="1"/>
    </xf>
    <xf numFmtId="177" fontId="102" fillId="0" borderId="10" xfId="46" applyNumberFormat="1" applyFont="1" applyBorder="1" applyAlignment="1">
      <alignment horizontal="right" vertical="center" wrapText="1"/>
    </xf>
    <xf numFmtId="0" fontId="102" fillId="0" borderId="10" xfId="0" applyFont="1" applyBorder="1" applyAlignment="1" quotePrefix="1">
      <alignment horizontal="left" vertical="center" wrapText="1"/>
    </xf>
    <xf numFmtId="0" fontId="109" fillId="27" borderId="10" xfId="0" applyFont="1" applyFill="1" applyBorder="1" applyAlignment="1">
      <alignment horizontal="center" vertical="center" wrapText="1"/>
    </xf>
    <xf numFmtId="0" fontId="102" fillId="27" borderId="10" xfId="0" applyFont="1" applyFill="1" applyBorder="1" applyAlignment="1" quotePrefix="1">
      <alignment horizontal="left" vertical="center" wrapText="1"/>
    </xf>
    <xf numFmtId="0" fontId="125" fillId="0" borderId="13" xfId="0" applyFont="1" applyBorder="1" applyAlignment="1">
      <alignment/>
    </xf>
    <xf numFmtId="177" fontId="102" fillId="26" borderId="10" xfId="46" applyNumberFormat="1" applyFont="1" applyFill="1" applyBorder="1" applyAlignment="1">
      <alignment horizontal="right" vertical="center" wrapText="1"/>
    </xf>
    <xf numFmtId="0" fontId="102" fillId="27" borderId="11" xfId="0" applyFont="1" applyFill="1" applyBorder="1" applyAlignment="1" quotePrefix="1">
      <alignment horizontal="left" vertical="center" wrapText="1"/>
    </xf>
    <xf numFmtId="0" fontId="23" fillId="0" borderId="13" xfId="66" applyFont="1" applyBorder="1" applyAlignment="1">
      <alignment horizontal="center"/>
      <protection/>
    </xf>
    <xf numFmtId="0" fontId="23" fillId="0" borderId="13" xfId="66" applyFont="1" applyBorder="1" applyAlignment="1">
      <alignment horizontal="left"/>
      <protection/>
    </xf>
    <xf numFmtId="0" fontId="23" fillId="0" borderId="13" xfId="66" applyFont="1" applyBorder="1">
      <alignment/>
      <protection/>
    </xf>
    <xf numFmtId="0" fontId="22" fillId="0" borderId="13" xfId="66" applyFont="1" applyBorder="1" applyAlignment="1">
      <alignment horizontal="center"/>
      <protection/>
    </xf>
    <xf numFmtId="0" fontId="22" fillId="0" borderId="13" xfId="66" applyFont="1" applyBorder="1">
      <alignment/>
      <protection/>
    </xf>
    <xf numFmtId="1" fontId="22" fillId="0" borderId="13" xfId="66" applyNumberFormat="1" applyFont="1" applyBorder="1">
      <alignment/>
      <protection/>
    </xf>
    <xf numFmtId="178" fontId="22" fillId="0" borderId="13" xfId="66" applyNumberFormat="1" applyFont="1" applyBorder="1">
      <alignment/>
      <protection/>
    </xf>
    <xf numFmtId="0" fontId="22" fillId="26" borderId="13" xfId="66" applyFont="1" applyFill="1" applyBorder="1" applyAlignment="1">
      <alignment horizontal="center"/>
      <protection/>
    </xf>
    <xf numFmtId="0" fontId="22" fillId="26" borderId="13" xfId="66" applyFont="1" applyFill="1" applyBorder="1">
      <alignment/>
      <protection/>
    </xf>
    <xf numFmtId="1" fontId="22" fillId="26" borderId="13" xfId="66" applyNumberFormat="1" applyFont="1" applyFill="1" applyBorder="1">
      <alignment/>
      <protection/>
    </xf>
    <xf numFmtId="178" fontId="22" fillId="26" borderId="13" xfId="66" applyNumberFormat="1" applyFont="1" applyFill="1" applyBorder="1">
      <alignment/>
      <protection/>
    </xf>
    <xf numFmtId="178" fontId="23" fillId="0" borderId="13" xfId="66" applyNumberFormat="1" applyFont="1" applyBorder="1">
      <alignment/>
      <protection/>
    </xf>
    <xf numFmtId="178" fontId="22" fillId="0" borderId="0" xfId="66" applyNumberFormat="1" applyFont="1" applyBorder="1">
      <alignment/>
      <protection/>
    </xf>
    <xf numFmtId="0" fontId="108" fillId="0" borderId="16" xfId="0" applyFont="1" applyBorder="1" applyAlignment="1">
      <alignment horizontal="center" vertical="center" wrapText="1"/>
    </xf>
    <xf numFmtId="0" fontId="23" fillId="0" borderId="16" xfId="0" applyFont="1" applyBorder="1" applyAlignment="1">
      <alignment horizontal="center" vertical="center" wrapText="1"/>
    </xf>
    <xf numFmtId="0" fontId="108" fillId="0" borderId="13" xfId="0" applyFont="1" applyBorder="1" applyAlignment="1">
      <alignment horizontal="center"/>
    </xf>
    <xf numFmtId="0" fontId="108" fillId="0" borderId="13" xfId="0" applyFont="1" applyBorder="1" applyAlignment="1">
      <alignment horizontal="left"/>
    </xf>
    <xf numFmtId="0" fontId="108" fillId="0" borderId="13" xfId="0" applyFont="1" applyBorder="1" applyAlignment="1">
      <alignment/>
    </xf>
    <xf numFmtId="0" fontId="108" fillId="0" borderId="18" xfId="0" applyFont="1" applyBorder="1" applyAlignment="1">
      <alignment horizontal="center"/>
    </xf>
    <xf numFmtId="0" fontId="34" fillId="0" borderId="18" xfId="0" applyFont="1" applyBorder="1" applyAlignment="1">
      <alignment horizontal="left"/>
    </xf>
    <xf numFmtId="0" fontId="34" fillId="0" borderId="10" xfId="0" applyFont="1" applyBorder="1" applyAlignment="1">
      <alignment horizontal="left"/>
    </xf>
    <xf numFmtId="0" fontId="34" fillId="27" borderId="10" xfId="0" applyFont="1" applyFill="1" applyBorder="1" applyAlignment="1" quotePrefix="1">
      <alignment horizontal="left" wrapText="1"/>
    </xf>
    <xf numFmtId="0" fontId="34" fillId="27" borderId="10" xfId="0" applyFont="1" applyFill="1" applyBorder="1" applyAlignment="1">
      <alignment horizontal="left"/>
    </xf>
    <xf numFmtId="0" fontId="34" fillId="27" borderId="17" xfId="0" applyFont="1" applyFill="1" applyBorder="1" applyAlignment="1" quotePrefix="1">
      <alignment horizontal="left" wrapText="1"/>
    </xf>
    <xf numFmtId="0" fontId="34" fillId="0" borderId="10" xfId="0" applyFont="1" applyBorder="1" applyAlignment="1">
      <alignment horizontal="left" wrapText="1"/>
    </xf>
    <xf numFmtId="0" fontId="34" fillId="0" borderId="10" xfId="0" applyFont="1" applyBorder="1" applyAlignment="1" quotePrefix="1">
      <alignment horizontal="left" wrapText="1"/>
    </xf>
    <xf numFmtId="0" fontId="108" fillId="0" borderId="17" xfId="0" applyFont="1" applyBorder="1" applyAlignment="1">
      <alignment horizontal="center"/>
    </xf>
    <xf numFmtId="0" fontId="34" fillId="0" borderId="17" xfId="0" applyFont="1" applyBorder="1" applyAlignment="1" quotePrefix="1">
      <alignment horizontal="left" wrapText="1"/>
    </xf>
    <xf numFmtId="0" fontId="34" fillId="0" borderId="18" xfId="0" applyFont="1" applyBorder="1" applyAlignment="1">
      <alignment horizontal="left" wrapText="1"/>
    </xf>
    <xf numFmtId="0" fontId="34" fillId="0" borderId="17" xfId="0" applyFont="1" applyBorder="1" applyAlignment="1">
      <alignment horizontal="left" wrapText="1"/>
    </xf>
    <xf numFmtId="0" fontId="108" fillId="0" borderId="12" xfId="0" applyFont="1" applyBorder="1" applyAlignment="1">
      <alignment horizontal="center"/>
    </xf>
    <xf numFmtId="0" fontId="34" fillId="0" borderId="12" xfId="0" applyFont="1" applyBorder="1" applyAlignment="1">
      <alignment horizontal="left" wrapText="1"/>
    </xf>
    <xf numFmtId="0" fontId="34" fillId="0" borderId="13" xfId="0" applyFont="1" applyBorder="1" applyAlignment="1">
      <alignment horizontal="left" wrapText="1"/>
    </xf>
    <xf numFmtId="0" fontId="97" fillId="0" borderId="10" xfId="0" applyFont="1" applyBorder="1" applyAlignment="1">
      <alignment/>
    </xf>
    <xf numFmtId="0" fontId="95" fillId="0" borderId="18" xfId="0" applyFont="1" applyBorder="1" applyAlignment="1">
      <alignment vertical="center"/>
    </xf>
    <xf numFmtId="0" fontId="97" fillId="0" borderId="18" xfId="0" applyFont="1" applyBorder="1" applyAlignment="1">
      <alignment vertical="center"/>
    </xf>
    <xf numFmtId="0" fontId="97" fillId="0" borderId="18" xfId="0" applyFont="1" applyBorder="1" applyAlignment="1">
      <alignment vertical="center"/>
    </xf>
    <xf numFmtId="0" fontId="97" fillId="0" borderId="10" xfId="0" applyFont="1" applyBorder="1" applyAlignment="1">
      <alignment vertical="center"/>
    </xf>
    <xf numFmtId="0" fontId="97" fillId="27" borderId="10" xfId="0" applyFont="1" applyFill="1" applyBorder="1" applyAlignment="1">
      <alignment vertical="center"/>
    </xf>
    <xf numFmtId="173" fontId="95" fillId="0" borderId="18" xfId="46" applyNumberFormat="1" applyFont="1" applyBorder="1" applyAlignment="1">
      <alignment vertical="center"/>
    </xf>
    <xf numFmtId="0" fontId="97" fillId="0" borderId="17" xfId="0" applyFont="1" applyBorder="1" applyAlignment="1">
      <alignment vertical="center"/>
    </xf>
    <xf numFmtId="0" fontId="97" fillId="0" borderId="13" xfId="0" applyFont="1" applyBorder="1" applyAlignment="1">
      <alignment vertical="center"/>
    </xf>
    <xf numFmtId="3" fontId="97" fillId="0" borderId="18" xfId="46" applyNumberFormat="1" applyFont="1" applyFill="1" applyBorder="1" applyAlignment="1">
      <alignment vertical="center"/>
    </xf>
    <xf numFmtId="0" fontId="95" fillId="0" borderId="11" xfId="0" applyFont="1" applyBorder="1" applyAlignment="1">
      <alignment vertical="center"/>
    </xf>
    <xf numFmtId="0" fontId="97" fillId="0" borderId="11" xfId="0" applyFont="1" applyBorder="1" applyAlignment="1">
      <alignment vertical="center"/>
    </xf>
    <xf numFmtId="0" fontId="97" fillId="0" borderId="18" xfId="0" applyFont="1" applyBorder="1" applyAlignment="1">
      <alignment horizontal="center" vertical="center"/>
    </xf>
    <xf numFmtId="0" fontId="97" fillId="0" borderId="10" xfId="0" applyFont="1" applyBorder="1" applyAlignment="1">
      <alignment horizontal="center" vertical="center"/>
    </xf>
    <xf numFmtId="0" fontId="97" fillId="27" borderId="10" xfId="0" applyFont="1" applyFill="1" applyBorder="1" applyAlignment="1">
      <alignment horizontal="left" vertical="center"/>
    </xf>
    <xf numFmtId="173" fontId="97" fillId="0" borderId="10" xfId="46" applyNumberFormat="1" applyFont="1" applyBorder="1" applyAlignment="1">
      <alignment horizontal="center" vertical="center"/>
    </xf>
    <xf numFmtId="173" fontId="97" fillId="0" borderId="10" xfId="46" applyNumberFormat="1" applyFont="1" applyBorder="1" applyAlignment="1" quotePrefix="1">
      <alignment horizontal="left" vertical="center"/>
    </xf>
    <xf numFmtId="173" fontId="97" fillId="0" borderId="17" xfId="46" applyNumberFormat="1" applyFont="1" applyBorder="1" applyAlignment="1" quotePrefix="1">
      <alignment horizontal="left" vertical="center"/>
    </xf>
    <xf numFmtId="173" fontId="97" fillId="0" borderId="18" xfId="46" applyNumberFormat="1" applyFont="1" applyBorder="1" applyAlignment="1">
      <alignment horizontal="center" vertical="center"/>
    </xf>
    <xf numFmtId="0" fontId="97" fillId="0" borderId="17" xfId="0" applyFont="1" applyBorder="1" applyAlignment="1">
      <alignment horizontal="center" vertical="center" wrapText="1"/>
    </xf>
    <xf numFmtId="0" fontId="97" fillId="0" borderId="11" xfId="0" applyFont="1" applyBorder="1" applyAlignment="1">
      <alignment horizontal="center" vertical="center"/>
    </xf>
    <xf numFmtId="173" fontId="97" fillId="0" borderId="10" xfId="46" applyNumberFormat="1" applyFont="1" applyBorder="1" applyAlignment="1">
      <alignment vertical="center"/>
    </xf>
    <xf numFmtId="177" fontId="94" fillId="0" borderId="0" xfId="0" applyNumberFormat="1" applyFont="1" applyAlignment="1">
      <alignment/>
    </xf>
    <xf numFmtId="178" fontId="97" fillId="0" borderId="0" xfId="0" applyNumberFormat="1" applyFont="1" applyAlignment="1">
      <alignment/>
    </xf>
    <xf numFmtId="188" fontId="95" fillId="0" borderId="0" xfId="0" applyNumberFormat="1" applyFont="1" applyAlignment="1">
      <alignment/>
    </xf>
    <xf numFmtId="0" fontId="154" fillId="27" borderId="15" xfId="0" applyFont="1" applyFill="1" applyBorder="1" applyAlignment="1">
      <alignment horizontal="center" vertical="center"/>
    </xf>
    <xf numFmtId="0" fontId="154" fillId="27" borderId="15" xfId="0" applyFont="1" applyFill="1" applyBorder="1" applyAlignment="1">
      <alignment horizontal="center" vertical="center" wrapText="1"/>
    </xf>
    <xf numFmtId="0" fontId="155" fillId="0" borderId="13" xfId="0" applyFont="1" applyBorder="1" applyAlignment="1">
      <alignment vertical="center"/>
    </xf>
    <xf numFmtId="0" fontId="154" fillId="27" borderId="13" xfId="0" applyFont="1" applyFill="1" applyBorder="1" applyAlignment="1">
      <alignment horizontal="center" vertical="center"/>
    </xf>
    <xf numFmtId="0" fontId="154" fillId="27" borderId="13" xfId="0" applyFont="1" applyFill="1" applyBorder="1" applyAlignment="1">
      <alignment vertical="center"/>
    </xf>
    <xf numFmtId="0" fontId="155" fillId="27" borderId="13" xfId="0" applyFont="1" applyFill="1" applyBorder="1" applyAlignment="1">
      <alignment horizontal="center" vertical="center"/>
    </xf>
    <xf numFmtId="0" fontId="155" fillId="27" borderId="13" xfId="0" applyFont="1" applyFill="1" applyBorder="1" applyAlignment="1">
      <alignment vertical="center" wrapText="1"/>
    </xf>
    <xf numFmtId="0" fontId="156" fillId="27" borderId="13" xfId="0" applyFont="1" applyFill="1" applyBorder="1" applyAlignment="1">
      <alignment horizontal="right" vertical="center"/>
    </xf>
    <xf numFmtId="0" fontId="156" fillId="27" borderId="13" xfId="0" applyFont="1" applyFill="1" applyBorder="1" applyAlignment="1">
      <alignment vertical="center"/>
    </xf>
    <xf numFmtId="0" fontId="156" fillId="27" borderId="13" xfId="0" applyFont="1" applyFill="1" applyBorder="1" applyAlignment="1" quotePrefix="1">
      <alignment horizontal="right" vertical="center"/>
    </xf>
    <xf numFmtId="0" fontId="33" fillId="27" borderId="13" xfId="0" applyFont="1" applyFill="1" applyBorder="1" applyAlignment="1">
      <alignment vertical="center" wrapText="1"/>
    </xf>
    <xf numFmtId="199" fontId="155" fillId="0" borderId="13" xfId="0" applyNumberFormat="1" applyFont="1" applyBorder="1" applyAlignment="1">
      <alignment vertical="center"/>
    </xf>
    <xf numFmtId="0" fontId="155" fillId="27" borderId="13" xfId="0" applyFont="1" applyFill="1" applyBorder="1" applyAlignment="1">
      <alignment vertical="center"/>
    </xf>
    <xf numFmtId="0" fontId="34" fillId="27" borderId="10" xfId="0" applyFont="1" applyFill="1" applyBorder="1" applyAlignment="1">
      <alignment horizontal="right"/>
    </xf>
    <xf numFmtId="0" fontId="155" fillId="27" borderId="13" xfId="0" applyFont="1" applyFill="1" applyBorder="1" applyAlignment="1" quotePrefix="1">
      <alignment horizontal="right" vertical="center"/>
    </xf>
    <xf numFmtId="0" fontId="156" fillId="27" borderId="13" xfId="0" applyFont="1" applyFill="1" applyBorder="1" applyAlignment="1">
      <alignment vertical="center" wrapText="1"/>
    </xf>
    <xf numFmtId="0" fontId="155" fillId="27" borderId="13" xfId="0" applyFont="1" applyFill="1" applyBorder="1" applyAlignment="1" quotePrefix="1">
      <alignment horizontal="center" vertical="center"/>
    </xf>
    <xf numFmtId="49" fontId="150" fillId="27" borderId="15" xfId="0" applyNumberFormat="1" applyFont="1" applyFill="1" applyBorder="1" applyAlignment="1">
      <alignment horizontal="center" vertical="center"/>
    </xf>
    <xf numFmtId="49" fontId="150" fillId="27" borderId="15" xfId="0" applyNumberFormat="1" applyFont="1" applyFill="1" applyBorder="1" applyAlignment="1">
      <alignment horizontal="center" vertical="center" wrapText="1"/>
    </xf>
    <xf numFmtId="49" fontId="150" fillId="0" borderId="0" xfId="0" applyNumberFormat="1" applyFont="1" applyAlignment="1">
      <alignment vertical="center"/>
    </xf>
    <xf numFmtId="176" fontId="154" fillId="27" borderId="15" xfId="46" applyNumberFormat="1" applyFont="1" applyFill="1" applyBorder="1" applyAlignment="1">
      <alignment horizontal="right" vertical="center" wrapText="1"/>
    </xf>
    <xf numFmtId="176" fontId="154" fillId="0" borderId="13" xfId="46" applyNumberFormat="1" applyFont="1" applyBorder="1" applyAlignment="1">
      <alignment horizontal="right" vertical="center"/>
    </xf>
    <xf numFmtId="176" fontId="23" fillId="27" borderId="13" xfId="46" applyNumberFormat="1" applyFont="1" applyFill="1" applyBorder="1" applyAlignment="1">
      <alignment horizontal="right" vertical="center"/>
    </xf>
    <xf numFmtId="176" fontId="155" fillId="0" borderId="13" xfId="46" applyNumberFormat="1" applyFont="1" applyBorder="1" applyAlignment="1">
      <alignment horizontal="right" vertical="center"/>
    </xf>
    <xf numFmtId="193" fontId="155" fillId="27" borderId="0" xfId="0" applyNumberFormat="1" applyFont="1" applyFill="1" applyAlignment="1">
      <alignment horizontal="right" vertical="center"/>
    </xf>
    <xf numFmtId="176" fontId="22" fillId="27" borderId="13" xfId="46" applyNumberFormat="1" applyFont="1" applyFill="1" applyBorder="1" applyAlignment="1">
      <alignment horizontal="right" vertical="center"/>
    </xf>
    <xf numFmtId="178" fontId="34" fillId="0" borderId="13" xfId="0" applyNumberFormat="1" applyFont="1" applyBorder="1" applyAlignment="1">
      <alignment horizontal="right" vertical="center"/>
    </xf>
    <xf numFmtId="176" fontId="155" fillId="27" borderId="13" xfId="46" applyNumberFormat="1" applyFont="1" applyFill="1" applyBorder="1" applyAlignment="1">
      <alignment horizontal="right" vertical="center"/>
    </xf>
    <xf numFmtId="176" fontId="155" fillId="27" borderId="13" xfId="46" applyNumberFormat="1" applyFont="1" applyFill="1" applyBorder="1" applyAlignment="1">
      <alignment horizontal="right" vertical="center" wrapText="1"/>
    </xf>
    <xf numFmtId="176" fontId="155" fillId="27" borderId="13" xfId="0" applyNumberFormat="1" applyFont="1" applyFill="1" applyBorder="1" applyAlignment="1">
      <alignment horizontal="right" vertical="center"/>
    </xf>
    <xf numFmtId="176" fontId="22" fillId="27" borderId="13" xfId="0" applyNumberFormat="1" applyFont="1" applyFill="1" applyBorder="1" applyAlignment="1">
      <alignment horizontal="right" vertical="center"/>
    </xf>
    <xf numFmtId="191" fontId="95" fillId="0" borderId="10" xfId="0" applyNumberFormat="1" applyFont="1" applyBorder="1" applyAlignment="1">
      <alignment horizontal="center"/>
    </xf>
    <xf numFmtId="191" fontId="97" fillId="0" borderId="10" xfId="0" applyNumberFormat="1" applyFont="1" applyBorder="1" applyAlignment="1">
      <alignment horizontal="center"/>
    </xf>
    <xf numFmtId="191" fontId="95" fillId="27" borderId="10" xfId="0" applyNumberFormat="1" applyFont="1" applyFill="1" applyBorder="1" applyAlignment="1">
      <alignment horizontal="center"/>
    </xf>
    <xf numFmtId="178" fontId="97" fillId="0" borderId="10" xfId="0" applyNumberFormat="1" applyFont="1" applyBorder="1" applyAlignment="1">
      <alignment horizontal="center"/>
    </xf>
    <xf numFmtId="177" fontId="97" fillId="27" borderId="10" xfId="0" applyNumberFormat="1" applyFont="1" applyFill="1" applyBorder="1" applyAlignment="1">
      <alignment horizontal="center"/>
    </xf>
    <xf numFmtId="191" fontId="97" fillId="27" borderId="10" xfId="0" applyNumberFormat="1" applyFont="1" applyFill="1" applyBorder="1" applyAlignment="1">
      <alignment horizontal="center"/>
    </xf>
    <xf numFmtId="191" fontId="97" fillId="0" borderId="10" xfId="0" applyNumberFormat="1" applyFont="1" applyBorder="1" applyAlignment="1">
      <alignment/>
    </xf>
    <xf numFmtId="188" fontId="95" fillId="0" borderId="10" xfId="0" applyNumberFormat="1" applyFont="1" applyBorder="1" applyAlignment="1">
      <alignment horizontal="center"/>
    </xf>
    <xf numFmtId="191" fontId="95" fillId="0" borderId="15" xfId="0" applyNumberFormat="1" applyFont="1" applyBorder="1" applyAlignment="1">
      <alignment vertical="center"/>
    </xf>
    <xf numFmtId="0" fontId="95" fillId="0" borderId="15" xfId="0" applyFont="1" applyBorder="1" applyAlignment="1">
      <alignment horizontal="center" vertical="center" wrapText="1"/>
    </xf>
    <xf numFmtId="191" fontId="95" fillId="0" borderId="15" xfId="0" applyNumberFormat="1" applyFont="1" applyBorder="1" applyAlignment="1">
      <alignment horizontal="center" vertical="center" wrapText="1"/>
    </xf>
    <xf numFmtId="188" fontId="95" fillId="0" borderId="15" xfId="0" applyNumberFormat="1" applyFont="1" applyBorder="1" applyAlignment="1">
      <alignment horizontal="center" vertical="center" wrapText="1"/>
    </xf>
    <xf numFmtId="0" fontId="95" fillId="0" borderId="15" xfId="0" applyFont="1" applyBorder="1" applyAlignment="1">
      <alignment vertical="center"/>
    </xf>
    <xf numFmtId="0" fontId="97" fillId="0" borderId="17" xfId="0" applyFont="1" applyBorder="1" applyAlignment="1">
      <alignment/>
    </xf>
    <xf numFmtId="193" fontId="95" fillId="0" borderId="10" xfId="0" applyNumberFormat="1" applyFont="1" applyBorder="1" applyAlignment="1">
      <alignment horizontal="center"/>
    </xf>
    <xf numFmtId="193" fontId="95" fillId="0" borderId="10" xfId="0" applyNumberFormat="1" applyFont="1" applyBorder="1" applyAlignment="1">
      <alignment horizontal="right"/>
    </xf>
    <xf numFmtId="193" fontId="97" fillId="0" borderId="10" xfId="0" applyNumberFormat="1" applyFont="1" applyBorder="1" applyAlignment="1">
      <alignment horizontal="right"/>
    </xf>
    <xf numFmtId="172" fontId="21" fillId="26" borderId="11" xfId="47" applyNumberFormat="1" applyFont="1" applyFill="1" applyBorder="1" applyAlignment="1">
      <alignment horizontal="right" vertical="center"/>
    </xf>
    <xf numFmtId="193" fontId="19" fillId="26" borderId="31" xfId="47" applyNumberFormat="1" applyFont="1" applyFill="1" applyBorder="1" applyAlignment="1">
      <alignment horizontal="right" vertical="center"/>
    </xf>
    <xf numFmtId="193" fontId="19" fillId="26" borderId="10" xfId="47" applyNumberFormat="1" applyFont="1" applyFill="1" applyBorder="1" applyAlignment="1">
      <alignment horizontal="right" vertical="center"/>
    </xf>
    <xf numFmtId="178" fontId="97" fillId="0" borderId="10" xfId="0" applyNumberFormat="1" applyFont="1" applyBorder="1" applyAlignment="1">
      <alignment horizontal="right"/>
    </xf>
    <xf numFmtId="177" fontId="97" fillId="0" borderId="10" xfId="46" applyNumberFormat="1" applyFont="1" applyBorder="1" applyAlignment="1">
      <alignment horizontal="right"/>
    </xf>
    <xf numFmtId="0" fontId="95" fillId="0" borderId="10" xfId="0" applyFont="1" applyBorder="1" applyAlignment="1">
      <alignment horizontal="right"/>
    </xf>
    <xf numFmtId="193" fontId="19" fillId="26" borderId="31" xfId="34" applyNumberFormat="1" applyFont="1" applyFill="1" applyBorder="1" applyAlignment="1">
      <alignment horizontal="right" vertical="center"/>
    </xf>
    <xf numFmtId="191" fontId="95" fillId="0" borderId="10" xfId="0" applyNumberFormat="1" applyFont="1" applyBorder="1" applyAlignment="1">
      <alignment horizontal="right"/>
    </xf>
    <xf numFmtId="193" fontId="19" fillId="26" borderId="10" xfId="33" applyNumberFormat="1" applyFont="1" applyFill="1" applyBorder="1" applyAlignment="1">
      <alignment horizontal="right" vertical="center"/>
    </xf>
    <xf numFmtId="193" fontId="19" fillId="26" borderId="11" xfId="47" applyNumberFormat="1" applyFont="1" applyFill="1" applyBorder="1" applyAlignment="1">
      <alignment horizontal="right" vertical="center"/>
    </xf>
    <xf numFmtId="178" fontId="97" fillId="0" borderId="11" xfId="0" applyNumberFormat="1" applyFont="1" applyBorder="1" applyAlignment="1">
      <alignment horizontal="right"/>
    </xf>
    <xf numFmtId="3" fontId="97" fillId="0" borderId="11" xfId="0" applyNumberFormat="1" applyFont="1" applyBorder="1" applyAlignment="1">
      <alignment horizontal="right"/>
    </xf>
    <xf numFmtId="193" fontId="21" fillId="26" borderId="11" xfId="47" applyNumberFormat="1" applyFont="1" applyFill="1" applyBorder="1" applyAlignment="1">
      <alignment horizontal="right" vertical="center"/>
    </xf>
    <xf numFmtId="0" fontId="97" fillId="0" borderId="11" xfId="0" applyFont="1" applyBorder="1" applyAlignment="1">
      <alignment horizontal="right"/>
    </xf>
    <xf numFmtId="177" fontId="21" fillId="26" borderId="10" xfId="48" applyNumberFormat="1" applyFont="1" applyFill="1" applyBorder="1" applyAlignment="1">
      <alignment horizontal="right"/>
    </xf>
    <xf numFmtId="191" fontId="21" fillId="0" borderId="10" xfId="0" applyNumberFormat="1" applyFont="1" applyBorder="1" applyAlignment="1">
      <alignment horizontal="right"/>
    </xf>
    <xf numFmtId="0" fontId="21" fillId="0" borderId="10" xfId="0" applyFont="1" applyBorder="1" applyAlignment="1">
      <alignment horizontal="right"/>
    </xf>
    <xf numFmtId="0" fontId="19" fillId="0" borderId="10" xfId="0" applyFont="1" applyBorder="1" applyAlignment="1">
      <alignment horizontal="right"/>
    </xf>
    <xf numFmtId="177" fontId="19" fillId="26" borderId="10" xfId="33" applyNumberFormat="1" applyFont="1" applyFill="1" applyBorder="1" applyAlignment="1">
      <alignment horizontal="right" vertical="center"/>
    </xf>
    <xf numFmtId="177" fontId="19" fillId="26" borderId="10" xfId="33" applyNumberFormat="1" applyFont="1" applyFill="1" applyBorder="1" applyAlignment="1">
      <alignment horizontal="right"/>
    </xf>
    <xf numFmtId="194" fontId="19" fillId="0" borderId="10" xfId="0" applyNumberFormat="1" applyFont="1" applyBorder="1" applyAlignment="1">
      <alignment horizontal="right"/>
    </xf>
    <xf numFmtId="0" fontId="19" fillId="0" borderId="0" xfId="0" applyFont="1" applyAlignment="1">
      <alignment horizontal="right"/>
    </xf>
    <xf numFmtId="193" fontId="19" fillId="0" borderId="10" xfId="47" applyNumberFormat="1" applyFont="1" applyFill="1" applyBorder="1" applyAlignment="1">
      <alignment horizontal="right" vertical="center"/>
    </xf>
    <xf numFmtId="0" fontId="97" fillId="0" borderId="0" xfId="0" applyFont="1" applyAlignment="1">
      <alignment horizontal="right"/>
    </xf>
    <xf numFmtId="178" fontId="95" fillId="0" borderId="10" xfId="0" applyNumberFormat="1" applyFont="1" applyBorder="1" applyAlignment="1">
      <alignment horizontal="right"/>
    </xf>
    <xf numFmtId="193" fontId="19" fillId="26" borderId="10" xfId="0" applyNumberFormat="1" applyFont="1" applyFill="1" applyBorder="1" applyAlignment="1">
      <alignment horizontal="right"/>
    </xf>
    <xf numFmtId="194" fontId="97" fillId="0" borderId="10" xfId="0" applyNumberFormat="1" applyFont="1" applyFill="1" applyBorder="1" applyAlignment="1">
      <alignment horizontal="right"/>
    </xf>
    <xf numFmtId="172" fontId="97" fillId="0" borderId="10" xfId="0" applyNumberFormat="1" applyFont="1" applyBorder="1" applyAlignment="1">
      <alignment horizontal="right"/>
    </xf>
    <xf numFmtId="191" fontId="95" fillId="0" borderId="11" xfId="0" applyNumberFormat="1" applyFont="1" applyBorder="1" applyAlignment="1">
      <alignment/>
    </xf>
    <xf numFmtId="0" fontId="9" fillId="0" borderId="13" xfId="0" applyFont="1" applyBorder="1" applyAlignment="1">
      <alignment horizontal="center" vertical="center" wrapText="1"/>
    </xf>
    <xf numFmtId="0" fontId="9" fillId="0" borderId="19" xfId="0" applyFont="1" applyBorder="1" applyAlignment="1">
      <alignment horizontal="centerContinuous" vertical="center" wrapText="1"/>
    </xf>
    <xf numFmtId="0" fontId="9" fillId="0" borderId="21" xfId="0" applyFont="1" applyBorder="1" applyAlignment="1">
      <alignment horizontal="centerContinuous" vertical="center"/>
    </xf>
    <xf numFmtId="0" fontId="9" fillId="0" borderId="20" xfId="0" applyFont="1" applyBorder="1" applyAlignment="1">
      <alignment horizontal="centerContinuous" vertical="center"/>
    </xf>
    <xf numFmtId="0" fontId="10" fillId="0" borderId="0" xfId="0" applyFont="1" applyAlignment="1">
      <alignment vertical="center"/>
    </xf>
    <xf numFmtId="0" fontId="9" fillId="0" borderId="12" xfId="0" applyFont="1" applyBorder="1" applyAlignment="1">
      <alignment horizontal="center" vertical="center" wrapText="1"/>
    </xf>
    <xf numFmtId="0" fontId="9" fillId="27" borderId="12" xfId="0" applyFont="1" applyFill="1" applyBorder="1" applyAlignment="1">
      <alignment horizontal="center" vertical="center" wrapText="1"/>
    </xf>
    <xf numFmtId="0" fontId="9" fillId="0" borderId="12" xfId="0" applyFont="1" applyBorder="1" applyAlignment="1">
      <alignment horizontal="center" vertical="center"/>
    </xf>
    <xf numFmtId="0" fontId="28" fillId="0" borderId="0" xfId="0" applyFont="1" applyAlignment="1">
      <alignment vertical="center"/>
    </xf>
    <xf numFmtId="0" fontId="9" fillId="0" borderId="13" xfId="0" applyFont="1" applyFill="1" applyBorder="1" applyAlignment="1">
      <alignment horizontal="center" vertical="center"/>
    </xf>
    <xf numFmtId="0" fontId="9" fillId="0" borderId="13" xfId="0" applyFont="1" applyFill="1" applyBorder="1" applyAlignment="1">
      <alignment vertical="center"/>
    </xf>
    <xf numFmtId="177" fontId="9" fillId="0" borderId="13" xfId="38" applyNumberFormat="1" applyFont="1" applyFill="1" applyBorder="1" applyAlignment="1">
      <alignment horizontal="center" vertical="center"/>
    </xf>
    <xf numFmtId="172" fontId="9" fillId="0" borderId="13" xfId="0" applyNumberFormat="1" applyFont="1" applyFill="1" applyBorder="1" applyAlignment="1">
      <alignment horizontal="center" vertical="center"/>
    </xf>
    <xf numFmtId="3" fontId="9" fillId="0" borderId="13" xfId="0" applyNumberFormat="1" applyFont="1" applyFill="1" applyBorder="1" applyAlignment="1">
      <alignment horizontal="right" vertical="center"/>
    </xf>
    <xf numFmtId="3" fontId="9" fillId="0" borderId="13" xfId="0" applyNumberFormat="1" applyFont="1" applyFill="1" applyBorder="1" applyAlignment="1">
      <alignment horizontal="center" vertical="center"/>
    </xf>
    <xf numFmtId="3" fontId="9" fillId="0" borderId="13" xfId="0" applyNumberFormat="1" applyFont="1" applyFill="1" applyBorder="1" applyAlignment="1">
      <alignment vertical="center"/>
    </xf>
    <xf numFmtId="172" fontId="10" fillId="0" borderId="13" xfId="0" applyNumberFormat="1" applyFont="1" applyFill="1" applyBorder="1" applyAlignment="1">
      <alignment horizontal="center" vertical="center"/>
    </xf>
    <xf numFmtId="0" fontId="10" fillId="0" borderId="13" xfId="0" applyFont="1" applyFill="1" applyBorder="1" applyAlignment="1">
      <alignment horizontal="center" vertical="center"/>
    </xf>
    <xf numFmtId="171" fontId="9" fillId="0" borderId="13" xfId="38" applyNumberFormat="1" applyFont="1" applyFill="1" applyBorder="1" applyAlignment="1">
      <alignment horizontal="center" vertical="center"/>
    </xf>
    <xf numFmtId="173" fontId="9" fillId="0" borderId="13" xfId="38" applyNumberFormat="1" applyFont="1" applyFill="1" applyBorder="1" applyAlignment="1">
      <alignment horizontal="center" vertical="center"/>
    </xf>
    <xf numFmtId="1" fontId="10" fillId="0" borderId="13" xfId="70" applyNumberFormat="1" applyFont="1" applyFill="1" applyBorder="1" applyAlignment="1">
      <alignment vertical="center" wrapText="1"/>
      <protection/>
    </xf>
    <xf numFmtId="1" fontId="10" fillId="0" borderId="13" xfId="70" applyNumberFormat="1" applyFont="1" applyFill="1" applyBorder="1" applyAlignment="1">
      <alignment horizontal="justify" vertical="center" wrapText="1"/>
      <protection/>
    </xf>
    <xf numFmtId="1" fontId="10" fillId="0" borderId="13" xfId="70" applyNumberFormat="1" applyFont="1" applyFill="1" applyBorder="1" applyAlignment="1" quotePrefix="1">
      <alignment horizontal="center" vertical="center" wrapText="1"/>
      <protection/>
    </xf>
    <xf numFmtId="177" fontId="10" fillId="0" borderId="13" xfId="38" applyNumberFormat="1" applyFont="1" applyFill="1" applyBorder="1" applyAlignment="1">
      <alignment horizontal="center" vertical="center"/>
    </xf>
    <xf numFmtId="177" fontId="10" fillId="0" borderId="13" xfId="38" applyNumberFormat="1" applyFont="1" applyFill="1" applyBorder="1" applyAlignment="1" quotePrefix="1">
      <alignment horizontal="center" vertical="center" wrapText="1"/>
    </xf>
    <xf numFmtId="1" fontId="10" fillId="0" borderId="13" xfId="70" applyNumberFormat="1" applyFont="1" applyFill="1" applyBorder="1" applyAlignment="1" quotePrefix="1">
      <alignment horizontal="right" vertical="center" wrapText="1"/>
      <protection/>
    </xf>
    <xf numFmtId="1" fontId="10" fillId="0" borderId="13" xfId="38" applyNumberFormat="1" applyFont="1" applyFill="1" applyBorder="1" applyAlignment="1">
      <alignment horizontal="center" vertical="center"/>
    </xf>
    <xf numFmtId="1" fontId="10" fillId="0" borderId="13" xfId="38" applyNumberFormat="1" applyFont="1" applyFill="1" applyBorder="1" applyAlignment="1">
      <alignment horizontal="right" vertical="center"/>
    </xf>
    <xf numFmtId="0" fontId="28" fillId="0" borderId="13" xfId="0" applyFont="1" applyFill="1" applyBorder="1" applyAlignment="1">
      <alignment vertical="center"/>
    </xf>
    <xf numFmtId="178" fontId="10" fillId="0" borderId="13" xfId="70" applyNumberFormat="1" applyFont="1" applyFill="1" applyBorder="1" applyAlignment="1" quotePrefix="1">
      <alignment horizontal="center" vertical="center" wrapText="1"/>
      <protection/>
    </xf>
    <xf numFmtId="0" fontId="10" fillId="0" borderId="13" xfId="0" applyFont="1" applyFill="1" applyBorder="1" applyAlignment="1">
      <alignment horizontal="center" vertical="center" wrapText="1"/>
    </xf>
    <xf numFmtId="0" fontId="10" fillId="0" borderId="13" xfId="0" applyFont="1" applyFill="1" applyBorder="1" applyAlignment="1">
      <alignment vertical="center"/>
    </xf>
    <xf numFmtId="169" fontId="10" fillId="0" borderId="13" xfId="47" applyNumberFormat="1" applyFont="1" applyFill="1" applyBorder="1" applyAlignment="1">
      <alignment horizontal="center" vertical="center" wrapText="1"/>
    </xf>
    <xf numFmtId="169" fontId="10" fillId="0" borderId="13" xfId="47" applyNumberFormat="1" applyFont="1" applyFill="1" applyBorder="1" applyAlignment="1">
      <alignment horizontal="right" vertical="center" wrapText="1"/>
    </xf>
    <xf numFmtId="194" fontId="10" fillId="0" borderId="13" xfId="47" applyNumberFormat="1" applyFont="1" applyFill="1" applyBorder="1" applyAlignment="1" quotePrefix="1">
      <alignment horizontal="center" vertical="center" wrapText="1"/>
    </xf>
    <xf numFmtId="178" fontId="10" fillId="0" borderId="13" xfId="70" applyNumberFormat="1" applyFont="1" applyFill="1" applyBorder="1" applyAlignment="1">
      <alignment horizontal="center" vertical="center" wrapText="1"/>
      <protection/>
    </xf>
    <xf numFmtId="1" fontId="10"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xf>
    <xf numFmtId="0" fontId="10" fillId="0" borderId="13" xfId="0" applyFont="1" applyFill="1" applyBorder="1" applyAlignment="1">
      <alignment horizontal="justify" vertical="center" wrapText="1"/>
    </xf>
    <xf numFmtId="173" fontId="10" fillId="0" borderId="13" xfId="49" applyNumberFormat="1" applyFont="1" applyFill="1" applyBorder="1" applyAlignment="1">
      <alignment horizontal="left" vertical="center" wrapText="1"/>
    </xf>
    <xf numFmtId="1" fontId="10" fillId="0" borderId="13" xfId="0" applyNumberFormat="1" applyFont="1" applyFill="1" applyBorder="1" applyAlignment="1">
      <alignment horizontal="center" vertical="center"/>
    </xf>
    <xf numFmtId="1" fontId="10" fillId="0" borderId="13" xfId="0" applyNumberFormat="1" applyFont="1" applyFill="1" applyBorder="1" applyAlignment="1">
      <alignment horizontal="right" vertical="center"/>
    </xf>
    <xf numFmtId="173" fontId="10" fillId="0" borderId="13" xfId="49"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xf>
    <xf numFmtId="3" fontId="10" fillId="0" borderId="13" xfId="0" applyNumberFormat="1" applyFont="1" applyFill="1" applyBorder="1" applyAlignment="1">
      <alignment horizontal="right" vertical="center"/>
    </xf>
    <xf numFmtId="0" fontId="28" fillId="0" borderId="0" xfId="0" applyFont="1" applyFill="1" applyAlignment="1">
      <alignment vertical="center"/>
    </xf>
    <xf numFmtId="177" fontId="52" fillId="0" borderId="13" xfId="38" applyNumberFormat="1" applyFont="1" applyFill="1" applyBorder="1" applyAlignment="1">
      <alignment horizontal="center" vertical="center"/>
    </xf>
    <xf numFmtId="195" fontId="10" fillId="0" borderId="13" xfId="38" applyNumberFormat="1" applyFont="1" applyFill="1" applyBorder="1" applyAlignment="1">
      <alignment horizontal="center" vertical="center" wrapText="1"/>
    </xf>
    <xf numFmtId="1" fontId="10" fillId="0" borderId="13" xfId="48" applyNumberFormat="1" applyFont="1" applyFill="1" applyBorder="1" applyAlignment="1">
      <alignment horizontal="right" vertical="center"/>
    </xf>
    <xf numFmtId="0" fontId="50" fillId="0" borderId="0" xfId="0" applyFont="1" applyAlignment="1">
      <alignment vertical="center"/>
    </xf>
    <xf numFmtId="196" fontId="10" fillId="0" borderId="13" xfId="38"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xf>
    <xf numFmtId="0" fontId="10" fillId="0" borderId="13" xfId="0" applyFont="1" applyFill="1" applyBorder="1" applyAlignment="1">
      <alignment horizontal="right" vertical="center"/>
    </xf>
    <xf numFmtId="0" fontId="28" fillId="27" borderId="0" xfId="0" applyFont="1" applyFill="1" applyAlignment="1">
      <alignment vertical="center"/>
    </xf>
    <xf numFmtId="177" fontId="139" fillId="0" borderId="13" xfId="38" applyNumberFormat="1" applyFont="1" applyFill="1" applyBorder="1" applyAlignment="1">
      <alignment horizontal="center" vertical="center"/>
    </xf>
    <xf numFmtId="1" fontId="10" fillId="0" borderId="13" xfId="70" applyNumberFormat="1" applyFont="1" applyFill="1" applyBorder="1" applyAlignment="1">
      <alignment horizontal="left" vertical="center" wrapText="1"/>
      <protection/>
    </xf>
    <xf numFmtId="173" fontId="10" fillId="0" borderId="13" xfId="49" applyNumberFormat="1" applyFont="1" applyFill="1" applyBorder="1" applyAlignment="1">
      <alignment horizontal="justify" vertical="center" wrapText="1"/>
    </xf>
    <xf numFmtId="193" fontId="10" fillId="0" borderId="13" xfId="47" applyNumberFormat="1" applyFont="1" applyFill="1" applyBorder="1" applyAlignment="1">
      <alignment horizontal="center" vertical="center" wrapText="1"/>
    </xf>
    <xf numFmtId="177" fontId="28" fillId="0" borderId="13" xfId="0" applyNumberFormat="1" applyFont="1" applyFill="1" applyBorder="1" applyAlignment="1">
      <alignment horizontal="center" vertical="center"/>
    </xf>
    <xf numFmtId="171" fontId="10" fillId="0" borderId="13" xfId="38" applyNumberFormat="1" applyFont="1" applyFill="1" applyBorder="1" applyAlignment="1">
      <alignment horizontal="center" vertical="center"/>
    </xf>
    <xf numFmtId="173" fontId="10" fillId="0" borderId="13" xfId="38" applyNumberFormat="1" applyFont="1" applyFill="1" applyBorder="1" applyAlignment="1">
      <alignment horizontal="center" vertical="center"/>
    </xf>
    <xf numFmtId="1" fontId="28" fillId="0" borderId="13" xfId="35" applyNumberFormat="1" applyFont="1" applyFill="1" applyBorder="1" applyAlignment="1">
      <alignment horizontal="center" vertical="center"/>
    </xf>
    <xf numFmtId="4" fontId="28" fillId="0" borderId="13" xfId="0" applyNumberFormat="1" applyFont="1" applyFill="1" applyBorder="1" applyAlignment="1">
      <alignment vertical="center"/>
    </xf>
    <xf numFmtId="173" fontId="52" fillId="0" borderId="13" xfId="49" applyNumberFormat="1" applyFont="1" applyFill="1" applyBorder="1" applyAlignment="1">
      <alignment horizontal="left" vertical="center" wrapText="1"/>
    </xf>
    <xf numFmtId="0" fontId="10" fillId="0" borderId="13" xfId="0" applyFont="1" applyFill="1" applyBorder="1" applyAlignment="1">
      <alignment horizontal="justify" vertical="center"/>
    </xf>
    <xf numFmtId="1" fontId="9" fillId="0" borderId="13" xfId="38" applyNumberFormat="1" applyFont="1" applyFill="1" applyBorder="1" applyAlignment="1">
      <alignment horizontal="right" vertical="center"/>
    </xf>
    <xf numFmtId="1" fontId="9" fillId="0" borderId="13" xfId="38" applyNumberFormat="1" applyFont="1" applyFill="1" applyBorder="1" applyAlignment="1">
      <alignment horizontal="center" vertical="center"/>
    </xf>
    <xf numFmtId="0" fontId="10" fillId="0" borderId="13" xfId="0" applyFont="1" applyFill="1" applyBorder="1" applyAlignment="1">
      <alignment vertical="center" wrapText="1"/>
    </xf>
    <xf numFmtId="0" fontId="28" fillId="0" borderId="13" xfId="0" applyFont="1" applyFill="1" applyBorder="1" applyAlignment="1">
      <alignment horizontal="center" vertical="center"/>
    </xf>
    <xf numFmtId="0" fontId="150" fillId="0" borderId="13" xfId="0" applyFont="1" applyFill="1" applyBorder="1" applyAlignment="1">
      <alignment horizontal="center" vertical="center"/>
    </xf>
    <xf numFmtId="1" fontId="150" fillId="0" borderId="13" xfId="70" applyNumberFormat="1" applyFont="1" applyFill="1" applyBorder="1" applyAlignment="1">
      <alignment vertical="center" wrapText="1"/>
      <protection/>
    </xf>
    <xf numFmtId="173" fontId="150" fillId="0" borderId="13" xfId="49" applyNumberFormat="1" applyFont="1" applyFill="1" applyBorder="1" applyAlignment="1">
      <alignment horizontal="left" vertical="center" wrapText="1"/>
    </xf>
    <xf numFmtId="1" fontId="150" fillId="0" borderId="13" xfId="70" applyNumberFormat="1" applyFont="1" applyFill="1" applyBorder="1" applyAlignment="1">
      <alignment horizontal="center" vertical="center" wrapText="1"/>
      <protection/>
    </xf>
    <xf numFmtId="173" fontId="150" fillId="0" borderId="13" xfId="49" applyNumberFormat="1" applyFont="1" applyFill="1" applyBorder="1" applyAlignment="1">
      <alignment horizontal="justify" vertical="center" wrapText="1"/>
    </xf>
    <xf numFmtId="0" fontId="150" fillId="0" borderId="13" xfId="0" applyFont="1" applyFill="1" applyBorder="1" applyAlignment="1">
      <alignment horizontal="center" vertical="center" wrapText="1"/>
    </xf>
    <xf numFmtId="177" fontId="150" fillId="0" borderId="13" xfId="38" applyNumberFormat="1" applyFont="1" applyFill="1" applyBorder="1" applyAlignment="1">
      <alignment horizontal="center" vertical="center"/>
    </xf>
    <xf numFmtId="172" fontId="150" fillId="0" borderId="13" xfId="0" applyNumberFormat="1" applyFont="1" applyFill="1" applyBorder="1" applyAlignment="1">
      <alignment horizontal="center" vertical="center"/>
    </xf>
    <xf numFmtId="1" fontId="150" fillId="0" borderId="13" xfId="38" applyNumberFormat="1" applyFont="1" applyFill="1" applyBorder="1" applyAlignment="1">
      <alignment horizontal="center" vertical="center"/>
    </xf>
    <xf numFmtId="1" fontId="150" fillId="0" borderId="13" xfId="38" applyNumberFormat="1" applyFont="1" applyFill="1" applyBorder="1" applyAlignment="1">
      <alignment horizontal="right" vertical="center"/>
    </xf>
    <xf numFmtId="4" fontId="150" fillId="0" borderId="13" xfId="0" applyNumberFormat="1" applyFont="1" applyFill="1" applyBorder="1" applyAlignment="1">
      <alignment horizontal="center" vertical="center" wrapText="1"/>
    </xf>
    <xf numFmtId="4" fontId="150" fillId="0" borderId="13" xfId="0" applyNumberFormat="1" applyFont="1" applyFill="1" applyBorder="1" applyAlignment="1">
      <alignment horizontal="center" vertical="center"/>
    </xf>
    <xf numFmtId="0" fontId="150" fillId="0" borderId="0" xfId="0" applyFont="1" applyAlignment="1">
      <alignment vertical="center"/>
    </xf>
    <xf numFmtId="0" fontId="110" fillId="0" borderId="0" xfId="0" applyFont="1" applyAlignment="1">
      <alignment vertical="center"/>
    </xf>
    <xf numFmtId="172" fontId="23" fillId="0" borderId="13" xfId="36" applyNumberFormat="1" applyFont="1" applyFill="1" applyBorder="1" applyAlignment="1">
      <alignment vertical="center"/>
    </xf>
    <xf numFmtId="0" fontId="43" fillId="0" borderId="13" xfId="0" applyFont="1" applyBorder="1" applyAlignment="1">
      <alignment horizontal="right" vertical="center"/>
    </xf>
    <xf numFmtId="0" fontId="97" fillId="0" borderId="0" xfId="0" applyFont="1" applyAlignment="1">
      <alignment horizontal="centerContinuous"/>
    </xf>
    <xf numFmtId="0" fontId="21" fillId="27" borderId="13" xfId="0" applyFont="1" applyFill="1" applyBorder="1" applyAlignment="1">
      <alignment horizontal="center"/>
    </xf>
    <xf numFmtId="0" fontId="21" fillId="27" borderId="18" xfId="0" applyFont="1" applyFill="1" applyBorder="1" applyAlignment="1">
      <alignment horizontal="left"/>
    </xf>
    <xf numFmtId="0" fontId="21" fillId="27" borderId="10" xfId="0" applyFont="1" applyFill="1" applyBorder="1" applyAlignment="1">
      <alignment horizontal="left"/>
    </xf>
    <xf numFmtId="0" fontId="19" fillId="27" borderId="10" xfId="0" applyFont="1" applyFill="1" applyBorder="1" applyAlignment="1">
      <alignment horizontal="left"/>
    </xf>
    <xf numFmtId="0" fontId="19" fillId="27" borderId="11" xfId="0" applyFont="1" applyFill="1" applyBorder="1" applyAlignment="1">
      <alignment horizontal="left"/>
    </xf>
    <xf numFmtId="176" fontId="135" fillId="0" borderId="0" xfId="0" applyNumberFormat="1" applyFont="1" applyAlignment="1">
      <alignment vertical="center"/>
    </xf>
    <xf numFmtId="177" fontId="152" fillId="0" borderId="10" xfId="37" applyNumberFormat="1" applyFont="1" applyFill="1" applyBorder="1" applyAlignment="1">
      <alignment horizontal="right" vertical="center" wrapText="1"/>
    </xf>
    <xf numFmtId="188" fontId="102" fillId="0" borderId="10" xfId="0" applyNumberFormat="1" applyFont="1" applyBorder="1" applyAlignment="1">
      <alignment horizontal="right" vertical="center" wrapText="1"/>
    </xf>
    <xf numFmtId="193" fontId="97" fillId="0" borderId="0" xfId="0" applyNumberFormat="1" applyFont="1" applyAlignment="1">
      <alignment/>
    </xf>
    <xf numFmtId="188" fontId="97" fillId="0" borderId="0" xfId="0" applyNumberFormat="1" applyFont="1" applyAlignment="1">
      <alignment/>
    </xf>
    <xf numFmtId="0" fontId="21" fillId="0" borderId="13" xfId="0" applyFont="1" applyFill="1" applyBorder="1" applyAlignment="1">
      <alignment horizontal="center" vertical="center" wrapText="1"/>
    </xf>
    <xf numFmtId="0" fontId="18" fillId="0" borderId="0" xfId="0" applyFont="1" applyFill="1" applyBorder="1" applyAlignment="1">
      <alignment horizontal="center"/>
    </xf>
    <xf numFmtId="0" fontId="36" fillId="0" borderId="0" xfId="0" applyFont="1" applyFill="1" applyAlignment="1">
      <alignment horizontal="center"/>
    </xf>
    <xf numFmtId="0" fontId="21" fillId="0" borderId="16"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3" fontId="24" fillId="0" borderId="19" xfId="70" applyNumberFormat="1" applyFont="1" applyBorder="1" applyAlignment="1">
      <alignment horizontal="center" vertical="center" wrapText="1"/>
      <protection/>
    </xf>
    <xf numFmtId="3" fontId="24" fillId="0" borderId="21" xfId="70" applyNumberFormat="1" applyFont="1" applyBorder="1" applyAlignment="1">
      <alignment horizontal="center" vertical="center" wrapText="1"/>
      <protection/>
    </xf>
    <xf numFmtId="3" fontId="24" fillId="0" borderId="20" xfId="70" applyNumberFormat="1" applyFont="1" applyBorder="1" applyAlignment="1">
      <alignment horizontal="center" vertical="center" wrapText="1"/>
      <protection/>
    </xf>
    <xf numFmtId="3" fontId="24" fillId="0" borderId="13" xfId="70" applyNumberFormat="1" applyFont="1" applyFill="1" applyBorder="1" applyAlignment="1">
      <alignment horizontal="center" vertical="center" wrapText="1"/>
      <protection/>
    </xf>
    <xf numFmtId="1" fontId="19" fillId="0" borderId="0" xfId="70" applyNumberFormat="1" applyFont="1" applyFill="1" applyAlignment="1">
      <alignment horizontal="center" vertical="center" wrapText="1"/>
      <protection/>
    </xf>
    <xf numFmtId="1" fontId="18" fillId="0" borderId="22" xfId="70" applyNumberFormat="1" applyFont="1" applyFill="1" applyBorder="1" applyAlignment="1">
      <alignment horizontal="right" vertical="center"/>
      <protection/>
    </xf>
    <xf numFmtId="3" fontId="24" fillId="0" borderId="16" xfId="70" applyNumberFormat="1" applyFont="1" applyBorder="1" applyAlignment="1">
      <alignment horizontal="center" vertical="center" wrapText="1"/>
      <protection/>
    </xf>
    <xf numFmtId="3" fontId="24" fillId="0" borderId="12" xfId="70" applyNumberFormat="1" applyFont="1" applyBorder="1" applyAlignment="1">
      <alignment horizontal="center" vertical="center" wrapText="1"/>
      <protection/>
    </xf>
    <xf numFmtId="3" fontId="24" fillId="0" borderId="15" xfId="70" applyNumberFormat="1" applyFont="1" applyBorder="1" applyAlignment="1">
      <alignment horizontal="center" vertical="center" wrapText="1"/>
      <protection/>
    </xf>
    <xf numFmtId="1" fontId="21" fillId="0" borderId="0" xfId="70" applyNumberFormat="1" applyFont="1" applyFill="1" applyAlignment="1">
      <alignment horizontal="center" vertical="center" wrapText="1"/>
      <protection/>
    </xf>
    <xf numFmtId="1" fontId="22" fillId="0" borderId="22" xfId="70" applyNumberFormat="1" applyFont="1" applyFill="1" applyBorder="1" applyAlignment="1">
      <alignment horizontal="right" vertical="center"/>
      <protection/>
    </xf>
    <xf numFmtId="1" fontId="23" fillId="0" borderId="13" xfId="70" applyNumberFormat="1" applyFont="1" applyFill="1" applyBorder="1" applyAlignment="1">
      <alignment horizontal="center" vertical="center" wrapText="1"/>
      <protection/>
    </xf>
    <xf numFmtId="1" fontId="22" fillId="0" borderId="13" xfId="70" applyNumberFormat="1" applyFont="1" applyFill="1" applyBorder="1" applyAlignment="1">
      <alignment horizontal="center" vertical="center" wrapText="1"/>
      <protection/>
    </xf>
    <xf numFmtId="1" fontId="18" fillId="0" borderId="0" xfId="70" applyNumberFormat="1" applyFont="1" applyFill="1" applyAlignment="1">
      <alignment horizontal="center" vertical="center" wrapText="1"/>
      <protection/>
    </xf>
    <xf numFmtId="3" fontId="50" fillId="0" borderId="16" xfId="72" applyNumberFormat="1" applyFont="1" applyBorder="1" applyAlignment="1">
      <alignment horizontal="center" vertical="center" wrapText="1"/>
      <protection/>
    </xf>
    <xf numFmtId="3" fontId="50" fillId="0" borderId="12" xfId="72" applyNumberFormat="1" applyFont="1" applyBorder="1" applyAlignment="1">
      <alignment horizontal="center" vertical="center" wrapText="1"/>
      <protection/>
    </xf>
    <xf numFmtId="3" fontId="50" fillId="0" borderId="15" xfId="72" applyNumberFormat="1" applyFont="1" applyBorder="1" applyAlignment="1">
      <alignment horizontal="center" vertical="center" wrapText="1"/>
      <protection/>
    </xf>
    <xf numFmtId="3" fontId="60" fillId="0" borderId="22" xfId="71" applyNumberFormat="1" applyFont="1" applyBorder="1" applyAlignment="1">
      <alignment horizontal="center" wrapText="1"/>
      <protection/>
    </xf>
    <xf numFmtId="3" fontId="46" fillId="0" borderId="0" xfId="71" applyNumberFormat="1" applyFont="1" applyAlignment="1">
      <alignment horizontal="center" wrapText="1"/>
      <protection/>
    </xf>
    <xf numFmtId="3" fontId="50" fillId="0" borderId="13" xfId="72" applyNumberFormat="1" applyFont="1" applyBorder="1" applyAlignment="1">
      <alignment horizontal="center" vertical="center" wrapText="1"/>
      <protection/>
    </xf>
    <xf numFmtId="3" fontId="51" fillId="0" borderId="16" xfId="72" applyNumberFormat="1" applyFont="1" applyBorder="1" applyAlignment="1">
      <alignment horizontal="center" vertical="center" wrapText="1"/>
      <protection/>
    </xf>
    <xf numFmtId="3" fontId="51" fillId="0" borderId="15" xfId="72" applyNumberFormat="1" applyFont="1" applyBorder="1" applyAlignment="1">
      <alignment horizontal="center" vertical="center" wrapText="1"/>
      <protection/>
    </xf>
    <xf numFmtId="3" fontId="50" fillId="0" borderId="21" xfId="72" applyNumberFormat="1" applyFont="1" applyBorder="1" applyAlignment="1">
      <alignment horizontal="center" vertical="center" wrapText="1"/>
      <protection/>
    </xf>
    <xf numFmtId="3" fontId="50" fillId="0" borderId="20" xfId="72" applyNumberFormat="1" applyFont="1" applyBorder="1" applyAlignment="1">
      <alignment horizontal="center" vertical="center" wrapText="1"/>
      <protection/>
    </xf>
    <xf numFmtId="3" fontId="62" fillId="0" borderId="13" xfId="72" applyNumberFormat="1" applyFont="1" applyBorder="1" applyAlignment="1">
      <alignment horizontal="center" vertical="center" wrapText="1"/>
      <protection/>
    </xf>
    <xf numFmtId="3" fontId="28" fillId="0" borderId="13" xfId="72" applyNumberFormat="1" applyFont="1" applyBorder="1" applyAlignment="1">
      <alignment horizontal="center" vertical="center" wrapText="1"/>
      <protection/>
    </xf>
    <xf numFmtId="3" fontId="48" fillId="0" borderId="0" xfId="71" applyNumberFormat="1" applyFont="1" applyAlignment="1">
      <alignment horizontal="center" wrapText="1"/>
      <protection/>
    </xf>
    <xf numFmtId="3" fontId="51" fillId="0" borderId="12" xfId="72" applyNumberFormat="1" applyFont="1" applyBorder="1" applyAlignment="1">
      <alignment horizontal="center" vertical="center" wrapText="1"/>
      <protection/>
    </xf>
    <xf numFmtId="3" fontId="10" fillId="0" borderId="19" xfId="70" applyNumberFormat="1" applyFont="1" applyBorder="1" applyAlignment="1">
      <alignment horizontal="center" vertical="center" wrapText="1"/>
      <protection/>
    </xf>
    <xf numFmtId="3" fontId="10" fillId="0" borderId="21" xfId="70" applyNumberFormat="1" applyFont="1" applyBorder="1" applyAlignment="1">
      <alignment horizontal="center" vertical="center" wrapText="1"/>
      <protection/>
    </xf>
    <xf numFmtId="3" fontId="10" fillId="0" borderId="16" xfId="70" applyNumberFormat="1" applyFont="1" applyBorder="1" applyAlignment="1">
      <alignment horizontal="center" vertical="center" wrapText="1"/>
      <protection/>
    </xf>
    <xf numFmtId="3" fontId="10" fillId="0" borderId="12" xfId="70" applyNumberFormat="1" applyFont="1" applyBorder="1" applyAlignment="1">
      <alignment horizontal="center" vertical="center" wrapText="1"/>
      <protection/>
    </xf>
    <xf numFmtId="3" fontId="10" fillId="0" borderId="15" xfId="70" applyNumberFormat="1" applyFont="1" applyBorder="1" applyAlignment="1">
      <alignment horizontal="center" vertical="center" wrapText="1"/>
      <protection/>
    </xf>
    <xf numFmtId="3" fontId="10" fillId="0" borderId="13" xfId="70" applyNumberFormat="1" applyFont="1" applyFill="1" applyBorder="1" applyAlignment="1">
      <alignment horizontal="center" vertical="center" wrapText="1"/>
      <protection/>
    </xf>
    <xf numFmtId="3" fontId="10" fillId="0" borderId="19" xfId="70" applyNumberFormat="1" applyFont="1" applyFill="1" applyBorder="1" applyAlignment="1">
      <alignment horizontal="center" vertical="center" wrapText="1"/>
      <protection/>
    </xf>
    <xf numFmtId="3" fontId="10" fillId="0" borderId="21" xfId="70" applyNumberFormat="1" applyFont="1" applyFill="1" applyBorder="1" applyAlignment="1">
      <alignment horizontal="center" vertical="center" wrapText="1"/>
      <protection/>
    </xf>
    <xf numFmtId="3" fontId="10" fillId="0" borderId="32" xfId="70" applyNumberFormat="1" applyFont="1" applyFill="1" applyBorder="1" applyAlignment="1">
      <alignment horizontal="center" vertical="center" wrapText="1"/>
      <protection/>
    </xf>
    <xf numFmtId="3" fontId="10" fillId="0" borderId="36" xfId="70" applyNumberFormat="1" applyFont="1" applyFill="1" applyBorder="1" applyAlignment="1">
      <alignment horizontal="center" vertical="center" wrapText="1"/>
      <protection/>
    </xf>
    <xf numFmtId="3" fontId="10" fillId="0" borderId="34" xfId="70" applyNumberFormat="1" applyFont="1" applyFill="1" applyBorder="1" applyAlignment="1">
      <alignment horizontal="center" vertical="center" wrapText="1"/>
      <protection/>
    </xf>
    <xf numFmtId="3" fontId="10" fillId="0" borderId="13" xfId="70" applyNumberFormat="1" applyFont="1" applyFill="1" applyBorder="1" applyAlignment="1">
      <alignment horizontal="right" vertical="center" wrapText="1"/>
      <protection/>
    </xf>
    <xf numFmtId="3" fontId="13" fillId="0" borderId="13" xfId="60" applyNumberFormat="1" applyFont="1" applyBorder="1" applyAlignment="1">
      <alignment horizontal="right" vertical="center" wrapText="1"/>
      <protection/>
    </xf>
    <xf numFmtId="0" fontId="18" fillId="0" borderId="0" xfId="0" applyFont="1" applyAlignment="1">
      <alignment horizontal="center"/>
    </xf>
    <xf numFmtId="1" fontId="10" fillId="0" borderId="0" xfId="70" applyNumberFormat="1" applyFont="1" applyFill="1" applyAlignment="1">
      <alignment horizontal="left" vertical="center" wrapText="1"/>
      <protection/>
    </xf>
    <xf numFmtId="1" fontId="9" fillId="0" borderId="0" xfId="70" applyNumberFormat="1" applyFont="1" applyFill="1" applyAlignment="1">
      <alignment vertical="center" wrapText="1"/>
      <protection/>
    </xf>
    <xf numFmtId="173" fontId="10" fillId="0" borderId="32" xfId="46" applyNumberFormat="1" applyFont="1" applyFill="1" applyBorder="1" applyAlignment="1">
      <alignment horizontal="center" vertical="center" wrapText="1"/>
    </xf>
    <xf numFmtId="173" fontId="10" fillId="0" borderId="34" xfId="46" applyNumberFormat="1" applyFont="1" applyFill="1" applyBorder="1" applyAlignment="1">
      <alignment horizontal="center" vertical="center" wrapText="1"/>
    </xf>
    <xf numFmtId="0" fontId="18" fillId="0" borderId="0" xfId="0" applyFont="1" applyAlignment="1">
      <alignment horizontal="center" vertical="center"/>
    </xf>
    <xf numFmtId="0" fontId="21" fillId="0" borderId="0" xfId="0" applyFont="1" applyAlignment="1">
      <alignment horizontal="center" vertical="center"/>
    </xf>
    <xf numFmtId="43" fontId="22" fillId="0" borderId="19" xfId="36" applyNumberFormat="1" applyFont="1" applyFill="1" applyBorder="1" applyAlignment="1">
      <alignment horizontal="left" vertical="center"/>
    </xf>
    <xf numFmtId="43" fontId="22" fillId="0" borderId="20" xfId="36" applyNumberFormat="1" applyFont="1" applyFill="1" applyBorder="1" applyAlignment="1">
      <alignment horizontal="left" vertical="center"/>
    </xf>
    <xf numFmtId="0" fontId="23" fillId="0" borderId="19"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5" xfId="0" applyFont="1" applyFill="1" applyBorder="1" applyAlignment="1">
      <alignment horizontal="center" vertical="center" wrapText="1"/>
    </xf>
    <xf numFmtId="3" fontId="23" fillId="0" borderId="16" xfId="0" applyNumberFormat="1" applyFont="1" applyFill="1" applyBorder="1" applyAlignment="1">
      <alignment horizontal="center" vertical="center" wrapText="1"/>
    </xf>
    <xf numFmtId="3" fontId="23" fillId="0" borderId="12" xfId="0" applyNumberFormat="1" applyFont="1" applyFill="1" applyBorder="1" applyAlignment="1">
      <alignment horizontal="center" vertical="center" wrapText="1"/>
    </xf>
    <xf numFmtId="3" fontId="23" fillId="0" borderId="15" xfId="0" applyNumberFormat="1" applyFont="1" applyFill="1" applyBorder="1" applyAlignment="1">
      <alignment horizontal="center" vertical="center" wrapText="1"/>
    </xf>
    <xf numFmtId="0" fontId="24" fillId="0" borderId="13" xfId="74" applyFont="1" applyFill="1" applyBorder="1" applyAlignment="1">
      <alignment horizontal="left" vertical="center" wrapText="1"/>
      <protection/>
    </xf>
    <xf numFmtId="0" fontId="17" fillId="0" borderId="13" xfId="74" applyFont="1" applyFill="1" applyBorder="1" applyAlignment="1">
      <alignment horizontal="center" vertical="center" wrapText="1"/>
      <protection/>
    </xf>
    <xf numFmtId="0" fontId="24" fillId="0" borderId="13" xfId="74" applyFont="1" applyFill="1" applyBorder="1" applyAlignment="1">
      <alignment horizontal="center" vertical="center" wrapText="1"/>
      <protection/>
    </xf>
    <xf numFmtId="0" fontId="17" fillId="0" borderId="13" xfId="74" applyFont="1" applyFill="1" applyBorder="1" applyAlignment="1">
      <alignment horizontal="left" vertical="center" wrapText="1"/>
      <protection/>
    </xf>
    <xf numFmtId="0" fontId="24" fillId="0" borderId="13" xfId="65" applyFont="1" applyFill="1" applyBorder="1" applyAlignment="1">
      <alignment horizontal="center" vertical="center" wrapText="1"/>
      <protection/>
    </xf>
    <xf numFmtId="0" fontId="36" fillId="0" borderId="0" xfId="0" applyNumberFormat="1" applyFont="1" applyFill="1" applyAlignment="1">
      <alignment horizontal="center" vertical="center"/>
    </xf>
    <xf numFmtId="0" fontId="36" fillId="0" borderId="0" xfId="0" applyFont="1" applyFill="1" applyAlignment="1">
      <alignment horizontal="center" vertical="center"/>
    </xf>
    <xf numFmtId="0" fontId="18" fillId="0" borderId="0" xfId="74" applyFont="1" applyFill="1" applyAlignment="1">
      <alignment horizontal="center" vertical="center"/>
      <protection/>
    </xf>
    <xf numFmtId="0" fontId="10" fillId="0" borderId="13" xfId="74" applyFont="1" applyBorder="1" applyAlignment="1">
      <alignment horizontal="center" vertical="center"/>
      <protection/>
    </xf>
    <xf numFmtId="0" fontId="10" fillId="0" borderId="13" xfId="74" applyFont="1" applyBorder="1" applyAlignment="1">
      <alignment vertical="center" wrapText="1"/>
      <protection/>
    </xf>
    <xf numFmtId="0" fontId="86" fillId="0" borderId="38" xfId="74" applyFont="1" applyFill="1" applyBorder="1" applyAlignment="1">
      <alignment horizontal="center" vertical="center" wrapText="1"/>
      <protection/>
    </xf>
    <xf numFmtId="0" fontId="87" fillId="0" borderId="38" xfId="74" applyFont="1" applyFill="1" applyBorder="1" applyAlignment="1">
      <alignment horizontal="center" vertical="center" wrapText="1"/>
      <protection/>
    </xf>
    <xf numFmtId="0" fontId="87" fillId="0" borderId="13" xfId="74" applyFont="1" applyFill="1" applyBorder="1" applyAlignment="1">
      <alignment horizontal="center" vertical="center" wrapText="1"/>
      <protection/>
    </xf>
    <xf numFmtId="0" fontId="9" fillId="0" borderId="13" xfId="74" applyFont="1" applyFill="1" applyBorder="1" applyAlignment="1">
      <alignment horizontal="center" vertical="center" wrapText="1"/>
      <protection/>
    </xf>
    <xf numFmtId="0" fontId="6" fillId="0" borderId="38" xfId="74" applyFont="1" applyFill="1" applyBorder="1" applyAlignment="1">
      <alignment horizontal="center" vertical="center" wrapText="1"/>
      <protection/>
    </xf>
    <xf numFmtId="0" fontId="6" fillId="0" borderId="13" xfId="74" applyFont="1" applyFill="1" applyBorder="1" applyAlignment="1">
      <alignment horizontal="center" vertical="center" wrapText="1"/>
      <protection/>
    </xf>
    <xf numFmtId="0" fontId="21" fillId="0" borderId="0" xfId="0" applyNumberFormat="1" applyFont="1" applyAlignment="1">
      <alignment horizontal="center" vertical="center"/>
    </xf>
    <xf numFmtId="0" fontId="18" fillId="0" borderId="0" xfId="74" applyFont="1" applyAlignment="1">
      <alignment horizontal="center" vertical="center"/>
      <protection/>
    </xf>
    <xf numFmtId="0" fontId="87" fillId="0" borderId="39" xfId="65" applyFont="1" applyFill="1" applyBorder="1" applyAlignment="1">
      <alignment horizontal="center" vertical="center" wrapText="1"/>
      <protection/>
    </xf>
    <xf numFmtId="0" fontId="87" fillId="0" borderId="26" xfId="65" applyFont="1" applyFill="1" applyBorder="1" applyAlignment="1">
      <alignment horizontal="center" vertical="center" wrapText="1"/>
      <protection/>
    </xf>
    <xf numFmtId="0" fontId="21" fillId="0" borderId="0" xfId="77" applyFont="1" applyFill="1" applyAlignment="1">
      <alignment horizontal="center" vertical="center"/>
      <protection/>
    </xf>
    <xf numFmtId="0" fontId="17" fillId="0" borderId="16" xfId="77" applyFont="1" applyFill="1" applyBorder="1" applyAlignment="1">
      <alignment horizontal="center" vertical="center"/>
      <protection/>
    </xf>
    <xf numFmtId="0" fontId="17" fillId="0" borderId="15" xfId="77" applyFont="1" applyFill="1" applyBorder="1" applyAlignment="1">
      <alignment horizontal="center" vertical="center"/>
      <protection/>
    </xf>
    <xf numFmtId="0" fontId="17" fillId="0" borderId="13" xfId="77" applyFont="1" applyFill="1" applyBorder="1" applyAlignment="1">
      <alignment horizontal="center" vertical="center" wrapText="1"/>
      <protection/>
    </xf>
    <xf numFmtId="0" fontId="33" fillId="0" borderId="22" xfId="77" applyFont="1" applyFill="1" applyBorder="1" applyAlignment="1">
      <alignment horizontal="center" vertical="center"/>
      <protection/>
    </xf>
    <xf numFmtId="0" fontId="17" fillId="0" borderId="13" xfId="77" applyFont="1" applyFill="1" applyBorder="1" applyAlignment="1">
      <alignment horizontal="center" vertical="center"/>
      <protection/>
    </xf>
    <xf numFmtId="0" fontId="21" fillId="0" borderId="13" xfId="0" applyFont="1" applyBorder="1" applyAlignment="1">
      <alignment horizontal="center"/>
    </xf>
    <xf numFmtId="0" fontId="21" fillId="0" borderId="14" xfId="0" applyNumberFormat="1" applyFont="1" applyBorder="1" applyAlignment="1">
      <alignment horizontal="center" vertical="center" wrapText="1"/>
    </xf>
    <xf numFmtId="0" fontId="21" fillId="0" borderId="11" xfId="0" applyNumberFormat="1" applyFont="1" applyBorder="1" applyAlignment="1">
      <alignment horizontal="center" vertical="center" wrapText="1"/>
    </xf>
    <xf numFmtId="0" fontId="102" fillId="0" borderId="10" xfId="0" applyFont="1" applyBorder="1" applyAlignment="1">
      <alignment horizontal="center" vertical="center" wrapText="1"/>
    </xf>
    <xf numFmtId="0" fontId="102" fillId="0" borderId="10" xfId="0" applyFont="1" applyBorder="1" applyAlignment="1">
      <alignment horizontal="left" vertical="center" wrapText="1"/>
    </xf>
    <xf numFmtId="173" fontId="102" fillId="0" borderId="10" xfId="37" applyNumberFormat="1" applyFont="1" applyBorder="1" applyAlignment="1">
      <alignment horizontal="right" vertical="center" wrapText="1"/>
    </xf>
    <xf numFmtId="0" fontId="19" fillId="0" borderId="0" xfId="0" applyFont="1" applyAlignment="1">
      <alignment horizontal="left" vertical="top" wrapText="1"/>
    </xf>
    <xf numFmtId="0" fontId="125" fillId="0" borderId="0" xfId="0" applyFont="1" applyAlignment="1">
      <alignment horizontal="center" vertical="center"/>
    </xf>
    <xf numFmtId="0" fontId="125" fillId="0" borderId="0" xfId="66" applyFont="1" applyAlignment="1">
      <alignment horizontal="center"/>
      <protection/>
    </xf>
    <xf numFmtId="0" fontId="109" fillId="0" borderId="0" xfId="66" applyFont="1" applyAlignment="1">
      <alignment horizontal="center"/>
      <protection/>
    </xf>
    <xf numFmtId="0" fontId="17" fillId="27" borderId="16" xfId="0" applyFont="1" applyFill="1" applyBorder="1" applyAlignment="1">
      <alignment horizontal="center" vertical="center" wrapText="1"/>
    </xf>
    <xf numFmtId="0" fontId="17" fillId="27" borderId="12" xfId="0" applyFont="1" applyFill="1" applyBorder="1" applyAlignment="1">
      <alignment horizontal="center" vertical="center" wrapText="1"/>
    </xf>
    <xf numFmtId="0" fontId="17"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5" xfId="0" applyFont="1" applyBorder="1" applyAlignment="1">
      <alignment horizontal="center" vertical="center" wrapText="1"/>
    </xf>
    <xf numFmtId="0" fontId="17" fillId="27"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26" borderId="32" xfId="0" applyFont="1" applyFill="1" applyBorder="1" applyAlignment="1">
      <alignment horizontal="center" vertical="center" wrapText="1"/>
    </xf>
    <xf numFmtId="0" fontId="17" fillId="26" borderId="37" xfId="0" applyFont="1" applyFill="1" applyBorder="1" applyAlignment="1">
      <alignment horizontal="center" vertical="center" wrapText="1"/>
    </xf>
    <xf numFmtId="0" fontId="17" fillId="26" borderId="33" xfId="0" applyFont="1" applyFill="1" applyBorder="1" applyAlignment="1">
      <alignment horizontal="center" vertical="center" wrapText="1"/>
    </xf>
    <xf numFmtId="0" fontId="17" fillId="0" borderId="19" xfId="0" applyFont="1" applyBorder="1" applyAlignment="1">
      <alignment horizontal="center" vertical="center"/>
    </xf>
    <xf numFmtId="0" fontId="17" fillId="0" borderId="21" xfId="0" applyFont="1" applyBorder="1" applyAlignment="1">
      <alignment horizontal="center" vertical="center"/>
    </xf>
    <xf numFmtId="0" fontId="17" fillId="0" borderId="20"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21" fillId="0" borderId="0" xfId="0" applyFont="1" applyAlignment="1">
      <alignment horizontal="center"/>
    </xf>
    <xf numFmtId="0" fontId="25" fillId="0" borderId="0" xfId="0" applyFont="1" applyAlignment="1">
      <alignment horizontal="center"/>
    </xf>
    <xf numFmtId="0" fontId="17" fillId="27" borderId="19" xfId="0" applyFont="1" applyFill="1" applyBorder="1" applyAlignment="1">
      <alignment horizontal="left" vertical="center" wrapText="1"/>
    </xf>
    <xf numFmtId="0" fontId="17" fillId="27" borderId="20" xfId="0" applyFont="1" applyFill="1" applyBorder="1" applyAlignment="1">
      <alignment horizontal="left" vertical="center" wrapText="1"/>
    </xf>
    <xf numFmtId="0" fontId="17" fillId="0" borderId="16"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26" borderId="16" xfId="66" applyFont="1" applyFill="1" applyBorder="1" applyAlignment="1">
      <alignment horizontal="center" vertical="center" wrapText="1"/>
      <protection/>
    </xf>
    <xf numFmtId="0" fontId="17" fillId="26" borderId="15" xfId="66" applyFont="1" applyFill="1" applyBorder="1" applyAlignment="1">
      <alignment horizontal="center" vertical="center" wrapText="1"/>
      <protection/>
    </xf>
    <xf numFmtId="0" fontId="17" fillId="0" borderId="19"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27" borderId="19" xfId="0" applyFont="1" applyFill="1" applyBorder="1" applyAlignment="1">
      <alignment horizontal="left"/>
    </xf>
    <xf numFmtId="0" fontId="17" fillId="27" borderId="20" xfId="0" applyFont="1" applyFill="1" applyBorder="1" applyAlignment="1">
      <alignment horizontal="left"/>
    </xf>
    <xf numFmtId="0" fontId="106" fillId="27" borderId="40" xfId="0" applyFont="1" applyFill="1" applyBorder="1" applyAlignment="1">
      <alignment horizontal="center" vertical="center" wrapText="1"/>
    </xf>
    <xf numFmtId="0" fontId="106" fillId="27" borderId="15" xfId="0" applyFont="1" applyFill="1" applyBorder="1" applyAlignment="1">
      <alignment horizontal="center" vertical="center" wrapText="1"/>
    </xf>
    <xf numFmtId="0" fontId="106" fillId="27" borderId="41" xfId="64" applyFont="1" applyFill="1" applyBorder="1" applyAlignment="1">
      <alignment horizontal="center" vertical="center" wrapText="1"/>
      <protection/>
    </xf>
    <xf numFmtId="0" fontId="106" fillId="27" borderId="42" xfId="64" applyFont="1" applyFill="1" applyBorder="1" applyAlignment="1">
      <alignment horizontal="center" vertical="center" wrapText="1"/>
      <protection/>
    </xf>
    <xf numFmtId="0" fontId="9" fillId="27" borderId="40" xfId="0" applyFont="1" applyFill="1" applyBorder="1" applyAlignment="1">
      <alignment horizontal="center" vertical="center" wrapText="1"/>
    </xf>
    <xf numFmtId="0" fontId="9" fillId="27" borderId="15" xfId="0" applyFont="1" applyFill="1" applyBorder="1" applyAlignment="1">
      <alignment horizontal="center" vertical="center" wrapText="1"/>
    </xf>
    <xf numFmtId="0" fontId="106" fillId="27" borderId="43" xfId="0" applyFont="1" applyFill="1" applyBorder="1" applyAlignment="1">
      <alignment horizontal="center" vertical="center" wrapText="1"/>
    </xf>
    <xf numFmtId="0" fontId="106" fillId="27" borderId="44" xfId="0" applyFont="1" applyFill="1" applyBorder="1" applyAlignment="1">
      <alignment horizontal="center" vertical="center" wrapText="1"/>
    </xf>
    <xf numFmtId="0" fontId="106" fillId="27" borderId="45" xfId="0" applyFont="1" applyFill="1" applyBorder="1" applyAlignment="1">
      <alignment horizontal="center" vertical="center" wrapText="1"/>
    </xf>
    <xf numFmtId="0" fontId="9" fillId="27" borderId="38" xfId="0" applyFont="1" applyFill="1" applyBorder="1" applyAlignment="1">
      <alignment horizontal="center" vertical="center" wrapText="1"/>
    </xf>
    <xf numFmtId="0" fontId="9" fillId="27" borderId="13" xfId="0" applyFont="1" applyFill="1" applyBorder="1" applyAlignment="1">
      <alignment horizontal="center" vertical="center" wrapText="1"/>
    </xf>
    <xf numFmtId="0" fontId="36" fillId="0" borderId="0" xfId="0" applyFont="1" applyAlignment="1">
      <alignment horizontal="center"/>
    </xf>
    <xf numFmtId="0" fontId="9" fillId="27" borderId="46" xfId="0" applyFont="1" applyFill="1" applyBorder="1" applyAlignment="1">
      <alignment horizontal="center" vertical="center" wrapText="1"/>
    </xf>
    <xf numFmtId="0" fontId="9" fillId="27" borderId="25" xfId="0" applyFont="1" applyFill="1" applyBorder="1" applyAlignment="1">
      <alignment horizontal="center" vertical="center" wrapText="1"/>
    </xf>
    <xf numFmtId="0" fontId="138" fillId="27" borderId="40" xfId="0" applyFont="1" applyFill="1" applyBorder="1" applyAlignment="1">
      <alignment horizontal="center" vertical="center" wrapText="1"/>
    </xf>
    <xf numFmtId="0" fontId="138" fillId="27" borderId="15" xfId="0" applyFont="1" applyFill="1" applyBorder="1" applyAlignment="1">
      <alignment horizontal="center" vertical="center" wrapText="1"/>
    </xf>
    <xf numFmtId="0" fontId="138" fillId="27" borderId="43" xfId="0" applyFont="1" applyFill="1" applyBorder="1" applyAlignment="1">
      <alignment horizontal="center" vertical="center" wrapText="1"/>
    </xf>
    <xf numFmtId="0" fontId="138" fillId="27" borderId="45" xfId="0" applyFont="1" applyFill="1" applyBorder="1" applyAlignment="1">
      <alignment horizontal="center" vertical="center" wrapText="1"/>
    </xf>
    <xf numFmtId="0" fontId="97" fillId="0" borderId="0" xfId="0" applyFont="1" applyAlignment="1">
      <alignment horizontal="left"/>
    </xf>
    <xf numFmtId="0" fontId="95" fillId="0" borderId="0" xfId="0" applyFont="1" applyAlignment="1">
      <alignment horizontal="center"/>
    </xf>
    <xf numFmtId="0" fontId="108" fillId="0" borderId="16" xfId="0" applyFont="1" applyBorder="1" applyAlignment="1">
      <alignment horizontal="center" vertical="center"/>
    </xf>
    <xf numFmtId="0" fontId="108" fillId="0" borderId="12" xfId="0" applyFont="1" applyBorder="1" applyAlignment="1">
      <alignment horizontal="center" vertical="center"/>
    </xf>
    <xf numFmtId="0" fontId="97" fillId="27" borderId="0" xfId="0" applyFont="1" applyFill="1" applyAlignment="1">
      <alignment horizontal="left" wrapText="1"/>
    </xf>
    <xf numFmtId="0" fontId="154" fillId="27" borderId="16" xfId="0" applyFont="1" applyFill="1" applyBorder="1" applyAlignment="1">
      <alignment horizontal="center" vertical="center" wrapText="1"/>
    </xf>
    <xf numFmtId="0" fontId="154" fillId="27" borderId="12" xfId="0" applyFont="1" applyFill="1" applyBorder="1" applyAlignment="1">
      <alignment horizontal="center" vertical="center" wrapText="1"/>
    </xf>
    <xf numFmtId="0" fontId="108" fillId="0" borderId="13" xfId="0" applyFont="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4" xfId="0" applyFont="1" applyFill="1" applyBorder="1" applyAlignment="1">
      <alignment horizontal="center" vertical="center" wrapText="1"/>
    </xf>
    <xf numFmtId="0" fontId="96" fillId="0" borderId="14" xfId="0" applyFont="1" applyBorder="1" applyAlignment="1">
      <alignment horizontal="center" vertical="center"/>
    </xf>
    <xf numFmtId="0" fontId="96" fillId="0" borderId="18" xfId="0" applyFont="1" applyBorder="1" applyAlignment="1">
      <alignment horizontal="center" vertical="center"/>
    </xf>
    <xf numFmtId="0" fontId="96" fillId="0" borderId="11" xfId="0" applyFont="1" applyBorder="1" applyAlignment="1">
      <alignment horizontal="center" vertical="center"/>
    </xf>
    <xf numFmtId="0" fontId="95" fillId="0" borderId="14" xfId="0" applyFont="1" applyBorder="1" applyAlignment="1">
      <alignment horizontal="center" vertical="center"/>
    </xf>
    <xf numFmtId="0" fontId="95" fillId="0" borderId="18" xfId="0" applyFont="1" applyBorder="1" applyAlignment="1">
      <alignment horizontal="center" vertical="center"/>
    </xf>
    <xf numFmtId="0" fontId="95" fillId="0" borderId="11" xfId="0" applyFont="1" applyBorder="1" applyAlignment="1">
      <alignment horizontal="center" vertical="center"/>
    </xf>
    <xf numFmtId="0" fontId="17" fillId="27" borderId="13" xfId="0" applyFont="1" applyFill="1" applyBorder="1" applyAlignment="1">
      <alignment horizontal="center" vertical="center"/>
    </xf>
    <xf numFmtId="0" fontId="95" fillId="0" borderId="0" xfId="0" applyFont="1" applyAlignment="1">
      <alignment horizontal="center" wrapText="1"/>
    </xf>
    <xf numFmtId="0" fontId="96" fillId="0" borderId="13" xfId="0" applyFont="1" applyBorder="1" applyAlignment="1">
      <alignment horizontal="center" vertical="center"/>
    </xf>
    <xf numFmtId="0" fontId="96" fillId="0" borderId="13" xfId="0" applyFont="1" applyBorder="1" applyAlignment="1">
      <alignment horizontal="center"/>
    </xf>
    <xf numFmtId="0" fontId="23" fillId="0" borderId="13" xfId="0" applyFont="1" applyFill="1" applyBorder="1" applyAlignment="1">
      <alignment horizontal="left" wrapText="1"/>
    </xf>
    <xf numFmtId="0" fontId="157" fillId="0" borderId="13" xfId="0" applyFont="1" applyFill="1" applyBorder="1" applyAlignment="1">
      <alignment horizontal="left" wrapText="1"/>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3" xfId="0" applyFont="1" applyFill="1" applyBorder="1" applyAlignment="1">
      <alignment horizontal="center" vertical="center" wrapText="1"/>
    </xf>
    <xf numFmtId="0" fontId="95" fillId="0" borderId="0" xfId="0" applyFont="1" applyAlignment="1">
      <alignment horizontal="center" vertical="center"/>
    </xf>
    <xf numFmtId="0" fontId="110" fillId="0" borderId="0" xfId="0" applyFont="1" applyAlignment="1">
      <alignment horizontal="center" vertical="center"/>
    </xf>
    <xf numFmtId="0" fontId="9" fillId="0" borderId="3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173" fontId="9" fillId="0" borderId="16" xfId="49" applyNumberFormat="1" applyFont="1" applyFill="1" applyBorder="1" applyAlignment="1">
      <alignment horizontal="center" vertical="center" wrapText="1"/>
    </xf>
    <xf numFmtId="173" fontId="9" fillId="0" borderId="15" xfId="49" applyNumberFormat="1"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wrapText="1"/>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27" borderId="16" xfId="0" applyFont="1" applyFill="1" applyBorder="1" applyAlignment="1">
      <alignment horizontal="center" vertical="center" wrapText="1"/>
    </xf>
    <xf numFmtId="0" fontId="106" fillId="0" borderId="13" xfId="73" applyFont="1" applyBorder="1" applyAlignment="1">
      <alignment horizontal="center" vertical="center" wrapText="1"/>
      <protection/>
    </xf>
    <xf numFmtId="0" fontId="19" fillId="0" borderId="13" xfId="73" applyFont="1" applyBorder="1" applyAlignment="1">
      <alignment vertical="center"/>
      <protection/>
    </xf>
    <xf numFmtId="0" fontId="95" fillId="0" borderId="0" xfId="73" applyFont="1" applyAlignment="1">
      <alignment horizontal="center" vertical="center"/>
      <protection/>
    </xf>
    <xf numFmtId="0" fontId="119" fillId="0" borderId="22" xfId="73" applyFont="1" applyBorder="1" applyAlignment="1">
      <alignment horizontal="center" vertical="center"/>
      <protection/>
    </xf>
    <xf numFmtId="0" fontId="98" fillId="0" borderId="13" xfId="73" applyFont="1" applyBorder="1" applyAlignment="1">
      <alignment horizontal="center" vertical="center" wrapText="1"/>
      <protection/>
    </xf>
    <xf numFmtId="173" fontId="98" fillId="0" borderId="13" xfId="35" applyNumberFormat="1" applyFont="1" applyBorder="1" applyAlignment="1">
      <alignment horizontal="center" vertical="center" wrapText="1"/>
    </xf>
    <xf numFmtId="173" fontId="97" fillId="0" borderId="13" xfId="35" applyNumberFormat="1" applyFont="1" applyBorder="1" applyAlignment="1">
      <alignment vertical="center"/>
    </xf>
    <xf numFmtId="177" fontId="98" fillId="0" borderId="13" xfId="35" applyNumberFormat="1" applyFont="1" applyBorder="1" applyAlignment="1">
      <alignment horizontal="center" vertical="center" wrapText="1"/>
    </xf>
    <xf numFmtId="177" fontId="97" fillId="0" borderId="13" xfId="35" applyNumberFormat="1" applyFont="1" applyBorder="1" applyAlignment="1">
      <alignment vertical="center"/>
    </xf>
    <xf numFmtId="0" fontId="46" fillId="0" borderId="0" xfId="0" applyFont="1" applyAlignment="1">
      <alignment horizontal="center"/>
    </xf>
    <xf numFmtId="0" fontId="108" fillId="0" borderId="15" xfId="0" applyFont="1" applyBorder="1" applyAlignment="1">
      <alignment horizontal="center" vertical="center"/>
    </xf>
    <xf numFmtId="0" fontId="108" fillId="0" borderId="19" xfId="0" applyFont="1" applyBorder="1" applyAlignment="1">
      <alignment horizontal="center" vertical="center"/>
    </xf>
    <xf numFmtId="0" fontId="108" fillId="0" borderId="21" xfId="0" applyFont="1" applyBorder="1" applyAlignment="1">
      <alignment horizontal="center" vertical="center"/>
    </xf>
    <xf numFmtId="0" fontId="108" fillId="0" borderId="20" xfId="0" applyFont="1" applyBorder="1" applyAlignment="1">
      <alignment horizontal="center" vertical="center"/>
    </xf>
    <xf numFmtId="0" fontId="158" fillId="27" borderId="0" xfId="0" applyFont="1" applyFill="1" applyAlignment="1">
      <alignment horizontal="center" vertical="center" wrapText="1"/>
    </xf>
    <xf numFmtId="0" fontId="154" fillId="27" borderId="16" xfId="0" applyFont="1" applyFill="1" applyBorder="1" applyAlignment="1">
      <alignment horizontal="center" vertical="center"/>
    </xf>
    <xf numFmtId="0" fontId="154" fillId="27" borderId="12" xfId="0" applyFont="1" applyFill="1" applyBorder="1" applyAlignment="1">
      <alignment horizontal="center" vertical="center"/>
    </xf>
    <xf numFmtId="0" fontId="154" fillId="27" borderId="15" xfId="0" applyFont="1" applyFill="1" applyBorder="1" applyAlignment="1">
      <alignment horizontal="center" vertical="center"/>
    </xf>
    <xf numFmtId="0" fontId="154" fillId="27" borderId="15" xfId="0" applyFont="1" applyFill="1" applyBorder="1" applyAlignment="1">
      <alignment horizontal="center" vertical="center" wrapText="1"/>
    </xf>
    <xf numFmtId="0" fontId="141" fillId="27" borderId="22" xfId="0" applyFont="1" applyFill="1" applyBorder="1" applyAlignment="1">
      <alignment horizontal="left" vertical="center"/>
    </xf>
    <xf numFmtId="0" fontId="23" fillId="27" borderId="16" xfId="0" applyFont="1" applyFill="1" applyBorder="1" applyAlignment="1">
      <alignment horizontal="center" vertical="center"/>
    </xf>
    <xf numFmtId="0" fontId="23" fillId="27" borderId="15" xfId="0" applyFont="1" applyFill="1" applyBorder="1" applyAlignment="1">
      <alignment horizontal="center" vertical="center"/>
    </xf>
    <xf numFmtId="0" fontId="103" fillId="0" borderId="0" xfId="0" applyFont="1" applyAlignment="1">
      <alignment horizontal="center"/>
    </xf>
    <xf numFmtId="0" fontId="48" fillId="0" borderId="22" xfId="0" applyFont="1" applyBorder="1" applyAlignment="1">
      <alignment horizontal="right"/>
    </xf>
    <xf numFmtId="0" fontId="141" fillId="27" borderId="0" xfId="0" applyFont="1" applyFill="1" applyAlignment="1">
      <alignment horizontal="center" vertical="center"/>
    </xf>
    <xf numFmtId="173" fontId="21" fillId="27" borderId="0" xfId="46" applyNumberFormat="1" applyFont="1" applyFill="1" applyAlignment="1">
      <alignment horizontal="center" vertical="center"/>
    </xf>
    <xf numFmtId="0" fontId="154" fillId="0" borderId="16" xfId="0" applyFont="1" applyBorder="1" applyAlignment="1">
      <alignment horizontal="center" vertical="center"/>
    </xf>
    <xf numFmtId="0" fontId="154" fillId="0" borderId="12" xfId="0" applyFont="1" applyBorder="1" applyAlignment="1">
      <alignment horizontal="center" vertical="center"/>
    </xf>
    <xf numFmtId="0" fontId="154" fillId="0" borderId="15" xfId="0" applyFont="1" applyBorder="1" applyAlignment="1">
      <alignment horizontal="center" vertical="center"/>
    </xf>
    <xf numFmtId="0" fontId="23" fillId="27" borderId="16" xfId="0" applyFont="1" applyFill="1" applyBorder="1" applyAlignment="1">
      <alignment horizontal="center" vertical="center" wrapText="1"/>
    </xf>
    <xf numFmtId="0" fontId="23" fillId="27" borderId="15" xfId="0" applyFont="1" applyFill="1" applyBorder="1" applyAlignment="1">
      <alignment horizontal="center" vertical="center" wrapText="1"/>
    </xf>
    <xf numFmtId="0" fontId="23" fillId="27" borderId="19" xfId="0" applyFont="1" applyFill="1" applyBorder="1" applyAlignment="1">
      <alignment horizontal="center" vertical="center" wrapText="1"/>
    </xf>
    <xf numFmtId="0" fontId="23" fillId="27" borderId="21" xfId="0" applyFont="1" applyFill="1" applyBorder="1" applyAlignment="1">
      <alignment horizontal="center" vertical="center" wrapText="1"/>
    </xf>
    <xf numFmtId="0" fontId="23" fillId="27" borderId="20" xfId="0" applyFont="1" applyFill="1" applyBorder="1" applyAlignment="1">
      <alignment horizontal="center" vertical="center" wrapText="1"/>
    </xf>
    <xf numFmtId="0" fontId="135" fillId="27" borderId="0" xfId="0" applyFont="1" applyFill="1" applyAlignment="1">
      <alignment vertical="center" wrapText="1"/>
    </xf>
    <xf numFmtId="0" fontId="0" fillId="0" borderId="0" xfId="0" applyAlignment="1">
      <alignment vertical="center" wrapText="1"/>
    </xf>
  </cellXfs>
  <cellStyles count="10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Nhấn1" xfId="15"/>
    <cellStyle name="20% - Nhấn2" xfId="16"/>
    <cellStyle name="20% - Nhấn3" xfId="17"/>
    <cellStyle name="20% - Nhấn4" xfId="18"/>
    <cellStyle name="20% - Nhấn5" xfId="19"/>
    <cellStyle name="20% - Nhấn6" xfId="20"/>
    <cellStyle name="40% - Nhấn1" xfId="21"/>
    <cellStyle name="40% - Nhấn2" xfId="22"/>
    <cellStyle name="40% - Nhấn3" xfId="23"/>
    <cellStyle name="40% - Nhấn4" xfId="24"/>
    <cellStyle name="40% - Nhấn5" xfId="25"/>
    <cellStyle name="40% - Nhấn6" xfId="26"/>
    <cellStyle name="60% - Nhấn1" xfId="27"/>
    <cellStyle name="60% - Nhấn2" xfId="28"/>
    <cellStyle name="60% - Nhấn3" xfId="29"/>
    <cellStyle name="60% - Nhấn4" xfId="30"/>
    <cellStyle name="60% - Nhấn5" xfId="31"/>
    <cellStyle name="60% - Nhấn6" xfId="32"/>
    <cellStyle name="Comma [0] 2" xfId="33"/>
    <cellStyle name="Comma [0] 3" xfId="34"/>
    <cellStyle name="Comma 10" xfId="35"/>
    <cellStyle name="Comma 2" xfId="36"/>
    <cellStyle name="Comma 26" xfId="37"/>
    <cellStyle name="Comma 3" xfId="38"/>
    <cellStyle name="Comma 3 2" xfId="39"/>
    <cellStyle name="Comma 4" xfId="40"/>
    <cellStyle name="Comma 7" xfId="41"/>
    <cellStyle name="Comma 8" xfId="42"/>
    <cellStyle name="Comma 9" xfId="43"/>
    <cellStyle name="Currency 2" xfId="44"/>
    <cellStyle name="Chuẩn 2" xfId="45"/>
    <cellStyle name="Comma" xfId="46"/>
    <cellStyle name="Comma [0]" xfId="47"/>
    <cellStyle name="Dấu phảy 2" xfId="48"/>
    <cellStyle name="Dấu phẩy 2" xfId="49"/>
    <cellStyle name="Đầu ra" xfId="50"/>
    <cellStyle name="Đầu vào" xfId="51"/>
    <cellStyle name="Đề mục 1" xfId="52"/>
    <cellStyle name="Đề mục 2" xfId="53"/>
    <cellStyle name="Đề mục 3" xfId="54"/>
    <cellStyle name="Đề mục 4" xfId="55"/>
    <cellStyle name="Ghi chú" xfId="56"/>
    <cellStyle name="Hyperlink 2" xfId="57"/>
    <cellStyle name="Kiểm tra Ô" xfId="58"/>
    <cellStyle name="Normal 10" xfId="59"/>
    <cellStyle name="Normal 2" xfId="60"/>
    <cellStyle name="Normal 2 2" xfId="61"/>
    <cellStyle name="Normal 2_PL6_Thong ke cac CTCN dang hoat dong_Phu Tho" xfId="62"/>
    <cellStyle name="Normal 3" xfId="63"/>
    <cellStyle name="Normal 4" xfId="64"/>
    <cellStyle name="Normal 4_PL6_Thong ke cac CTCN dang hoat dong_Phu Tho" xfId="65"/>
    <cellStyle name="Normal 5" xfId="66"/>
    <cellStyle name="Normal 6" xfId="67"/>
    <cellStyle name="Normal_bieu  no dong XDCB phục vụ XD Kh 2014--C.Thuy 2" xfId="68"/>
    <cellStyle name="Normal_Bieu 5_KH dau ta XD thuoc CTMT 2013-2015" xfId="69"/>
    <cellStyle name="Normal_Bieu mau (CV )" xfId="70"/>
    <cellStyle name="Normal_Bieu tong hop KH CT MTQG 2014 (A.Chung sua)" xfId="71"/>
    <cellStyle name="Normal_DMCT du kien 2014 - VPDP" xfId="72"/>
    <cellStyle name="Normal_KH WB 2013 (NHTG)" xfId="73"/>
    <cellStyle name="Normal_PL6_Thong ke cac CTCN dang hoat dong_Phu Tho" xfId="74"/>
    <cellStyle name="Normal_Phan bo von 2013 Dieu chinh theo VB 937 cua so KH" xfId="75"/>
    <cellStyle name="Normal_Sheet1" xfId="76"/>
    <cellStyle name="Normal_Tong hop so lieu" xfId="77"/>
    <cellStyle name="Nhấn1" xfId="78"/>
    <cellStyle name="Nhấn2" xfId="79"/>
    <cellStyle name="Nhấn3" xfId="80"/>
    <cellStyle name="Nhấn4" xfId="81"/>
    <cellStyle name="Nhấn5" xfId="82"/>
    <cellStyle name="Nhấn6" xfId="83"/>
    <cellStyle name="Ô Được nối kết" xfId="84"/>
    <cellStyle name="Percent 2" xfId="85"/>
    <cellStyle name="Percent 3" xfId="86"/>
    <cellStyle name="Percent" xfId="87"/>
    <cellStyle name="Phần trăm 2" xfId="88"/>
    <cellStyle name="Hyperlink" xfId="89"/>
    <cellStyle name="Followed Hyperlink" xfId="90"/>
    <cellStyle name="Currency" xfId="91"/>
    <cellStyle name="Currency [0]" xfId="92"/>
    <cellStyle name="Tiêu đề" xfId="93"/>
    <cellStyle name="Tính toán" xfId="94"/>
    <cellStyle name="Tổng" xfId="95"/>
    <cellStyle name="Tốt" xfId="96"/>
    <cellStyle name="Trung tính" xfId="97"/>
    <cellStyle name="Văn bản Cảnh báo" xfId="98"/>
    <cellStyle name="Văn bản Giải thích" xfId="99"/>
    <cellStyle name="Xấu" xfId="100"/>
  </cellStyles>
  <dxfs count="1">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grpSp>
      <xdr:nvGrpSpPr>
        <xdr:cNvPr id="1" name="Group 5"/>
        <xdr:cNvGrpSpPr>
          <a:grpSpLocks/>
        </xdr:cNvGrpSpPr>
      </xdr:nvGrpSpPr>
      <xdr:grpSpPr>
        <a:xfrm>
          <a:off x="2171700" y="2733675"/>
          <a:ext cx="0" cy="0"/>
          <a:chOff x="6438900" y="3600450"/>
          <a:chExt cx="9534525" cy="2457450"/>
        </a:xfrm>
        <a:solidFill>
          <a:srgbClr val="FFFFFF"/>
        </a:solidFill>
      </xdr:grpSpPr>
      <xdr:sp>
        <xdr:nvSpPr>
          <xdr:cNvPr id="2" name="Rectangle 18"/>
          <xdr:cNvSpPr>
            <a:spLocks/>
          </xdr:cNvSpPr>
        </xdr:nvSpPr>
        <xdr:spPr>
          <a:xfrm>
            <a:off x="6438900" y="2734200"/>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3" name="Rectangle 19"/>
          <xdr:cNvSpPr>
            <a:spLocks/>
          </xdr:cNvSpPr>
        </xdr:nvSpPr>
        <xdr:spPr>
          <a:xfrm>
            <a:off x="6438900" y="2734200"/>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4" name="Rectangle 20"/>
          <xdr:cNvSpPr>
            <a:spLocks/>
          </xdr:cNvSpPr>
        </xdr:nvSpPr>
        <xdr:spPr>
          <a:xfrm>
            <a:off x="6438900" y="2734200"/>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5" name="Rectangle 21"/>
          <xdr:cNvSpPr>
            <a:spLocks/>
          </xdr:cNvSpPr>
        </xdr:nvSpPr>
        <xdr:spPr>
          <a:xfrm>
            <a:off x="6438900" y="2734200"/>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6" name="Rectangle 22"/>
          <xdr:cNvSpPr>
            <a:spLocks/>
          </xdr:cNvSpPr>
        </xdr:nvSpPr>
        <xdr:spPr>
          <a:xfrm>
            <a:off x="6438900" y="2734200"/>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7" name="TextBox 23"/>
          <xdr:cNvSpPr txBox="1">
            <a:spLocks noChangeArrowheads="1"/>
          </xdr:cNvSpPr>
        </xdr:nvSpPr>
        <xdr:spPr>
          <a:xfrm>
            <a:off x="6438900" y="2734200"/>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3 months</a:t>
            </a:r>
          </a:p>
        </xdr:txBody>
      </xdr:sp>
      <xdr:sp>
        <xdr:nvSpPr>
          <xdr:cNvPr id="8" name="TextBox 24"/>
          <xdr:cNvSpPr txBox="1">
            <a:spLocks noChangeArrowheads="1"/>
          </xdr:cNvSpPr>
        </xdr:nvSpPr>
        <xdr:spPr>
          <a:xfrm>
            <a:off x="6438900" y="2734200"/>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8 months</a:t>
            </a:r>
          </a:p>
        </xdr:txBody>
      </xdr:sp>
      <xdr:sp>
        <xdr:nvSpPr>
          <xdr:cNvPr id="9" name="TextBox 25"/>
          <xdr:cNvSpPr txBox="1">
            <a:spLocks noChangeArrowheads="1"/>
          </xdr:cNvSpPr>
        </xdr:nvSpPr>
        <xdr:spPr>
          <a:xfrm>
            <a:off x="6438900" y="2734200"/>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2 months</a:t>
            </a:r>
          </a:p>
        </xdr:txBody>
      </xdr:sp>
      <xdr:sp>
        <xdr:nvSpPr>
          <xdr:cNvPr id="10" name="TextBox 26"/>
          <xdr:cNvSpPr txBox="1">
            <a:spLocks noChangeArrowheads="1"/>
          </xdr:cNvSpPr>
        </xdr:nvSpPr>
        <xdr:spPr>
          <a:xfrm>
            <a:off x="6438900" y="2734200"/>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6 months</a:t>
            </a:r>
          </a:p>
        </xdr:txBody>
      </xdr:sp>
      <xdr:sp>
        <xdr:nvSpPr>
          <xdr:cNvPr id="11" name="TextBox 27"/>
          <xdr:cNvSpPr txBox="1">
            <a:spLocks noChangeArrowheads="1"/>
          </xdr:cNvSpPr>
        </xdr:nvSpPr>
        <xdr:spPr>
          <a:xfrm>
            <a:off x="6438900" y="2734200"/>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3 months</a:t>
            </a:r>
          </a:p>
        </xdr:txBody>
      </xdr:sp>
      <xdr:sp>
        <xdr:nvSpPr>
          <xdr:cNvPr id="12" name="Rectangle 28"/>
          <xdr:cNvSpPr>
            <a:spLocks/>
          </xdr:cNvSpPr>
        </xdr:nvSpPr>
        <xdr:spPr>
          <a:xfrm>
            <a:off x="6438900" y="2734200"/>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13" name="TextBox 29"/>
          <xdr:cNvSpPr txBox="1">
            <a:spLocks noChangeArrowheads="1"/>
          </xdr:cNvSpPr>
        </xdr:nvSpPr>
        <xdr:spPr>
          <a:xfrm>
            <a:off x="6438900" y="2734200"/>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18 months</a:t>
            </a:r>
          </a:p>
        </xdr:txBody>
      </xdr:sp>
      <xdr:sp>
        <xdr:nvSpPr>
          <xdr:cNvPr id="14" name="Straight Connector 30"/>
          <xdr:cNvSpPr>
            <a:spLocks/>
          </xdr:cNvSpPr>
        </xdr:nvSpPr>
        <xdr:spPr>
          <a:xfrm flipV="1">
            <a:off x="6438900" y="2734200"/>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15" name="Straight Connector 31"/>
          <xdr:cNvSpPr>
            <a:spLocks/>
          </xdr:cNvSpPr>
        </xdr:nvSpPr>
        <xdr:spPr>
          <a:xfrm>
            <a:off x="6438900" y="2734200"/>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16" name="Straight Connector 32"/>
          <xdr:cNvSpPr>
            <a:spLocks/>
          </xdr:cNvSpPr>
        </xdr:nvSpPr>
        <xdr:spPr>
          <a:xfrm flipV="1">
            <a:off x="6438900" y="2734200"/>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17" name="Straight Connector 33"/>
          <xdr:cNvSpPr>
            <a:spLocks/>
          </xdr:cNvSpPr>
        </xdr:nvSpPr>
        <xdr:spPr>
          <a:xfrm>
            <a:off x="6438900" y="2734200"/>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grpSp>
    <xdr:clientData/>
  </xdr:twoCellAnchor>
  <xdr:twoCellAnchor>
    <xdr:from>
      <xdr:col>2</xdr:col>
      <xdr:colOff>0</xdr:colOff>
      <xdr:row>11</xdr:row>
      <xdr:rowOff>0</xdr:rowOff>
    </xdr:from>
    <xdr:to>
      <xdr:col>2</xdr:col>
      <xdr:colOff>0</xdr:colOff>
      <xdr:row>11</xdr:row>
      <xdr:rowOff>0</xdr:rowOff>
    </xdr:to>
    <xdr:grpSp>
      <xdr:nvGrpSpPr>
        <xdr:cNvPr id="18" name="Group 30"/>
        <xdr:cNvGrpSpPr>
          <a:grpSpLocks/>
        </xdr:cNvGrpSpPr>
      </xdr:nvGrpSpPr>
      <xdr:grpSpPr>
        <a:xfrm>
          <a:off x="2171700" y="2733675"/>
          <a:ext cx="0" cy="0"/>
          <a:chOff x="6699435" y="6178363"/>
          <a:chExt cx="9422466" cy="3147172"/>
        </a:xfrm>
        <a:solidFill>
          <a:srgbClr val="FFFFFF"/>
        </a:solidFill>
      </xdr:grpSpPr>
      <xdr:sp>
        <xdr:nvSpPr>
          <xdr:cNvPr id="19" name="Rectangle 35"/>
          <xdr:cNvSpPr>
            <a:spLocks/>
          </xdr:cNvSpPr>
        </xdr:nvSpPr>
        <xdr:spPr>
          <a:xfrm>
            <a:off x="6699435" y="2734571"/>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20" name="Rectangle 36"/>
          <xdr:cNvSpPr>
            <a:spLocks/>
          </xdr:cNvSpPr>
        </xdr:nvSpPr>
        <xdr:spPr>
          <a:xfrm>
            <a:off x="6699435" y="2734571"/>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21" name="Rectangle 37"/>
          <xdr:cNvSpPr>
            <a:spLocks/>
          </xdr:cNvSpPr>
        </xdr:nvSpPr>
        <xdr:spPr>
          <a:xfrm>
            <a:off x="6699435" y="2734571"/>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22" name="Rectangle 38"/>
          <xdr:cNvSpPr>
            <a:spLocks/>
          </xdr:cNvSpPr>
        </xdr:nvSpPr>
        <xdr:spPr>
          <a:xfrm>
            <a:off x="6699435" y="2734571"/>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23" name="Rectangle 39"/>
          <xdr:cNvSpPr>
            <a:spLocks/>
          </xdr:cNvSpPr>
        </xdr:nvSpPr>
        <xdr:spPr>
          <a:xfrm>
            <a:off x="6699435" y="2734571"/>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24" name="TextBox 40"/>
          <xdr:cNvSpPr txBox="1">
            <a:spLocks noChangeArrowheads="1"/>
          </xdr:cNvSpPr>
        </xdr:nvSpPr>
        <xdr:spPr>
          <a:xfrm>
            <a:off x="6699435" y="2734571"/>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3 months</a:t>
            </a:r>
          </a:p>
        </xdr:txBody>
      </xdr:sp>
      <xdr:sp>
        <xdr:nvSpPr>
          <xdr:cNvPr id="25" name="TextBox 41"/>
          <xdr:cNvSpPr txBox="1">
            <a:spLocks noChangeArrowheads="1"/>
          </xdr:cNvSpPr>
        </xdr:nvSpPr>
        <xdr:spPr>
          <a:xfrm>
            <a:off x="6699435" y="2734571"/>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8 months</a:t>
            </a:r>
          </a:p>
        </xdr:txBody>
      </xdr:sp>
      <xdr:sp>
        <xdr:nvSpPr>
          <xdr:cNvPr id="26" name="TextBox 42"/>
          <xdr:cNvSpPr txBox="1">
            <a:spLocks noChangeArrowheads="1"/>
          </xdr:cNvSpPr>
        </xdr:nvSpPr>
        <xdr:spPr>
          <a:xfrm>
            <a:off x="6699435" y="2734571"/>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2 months</a:t>
            </a:r>
          </a:p>
        </xdr:txBody>
      </xdr:sp>
      <xdr:sp>
        <xdr:nvSpPr>
          <xdr:cNvPr id="27" name="TextBox 43"/>
          <xdr:cNvSpPr txBox="1">
            <a:spLocks noChangeArrowheads="1"/>
          </xdr:cNvSpPr>
        </xdr:nvSpPr>
        <xdr:spPr>
          <a:xfrm>
            <a:off x="6699435" y="2734571"/>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6 months</a:t>
            </a:r>
          </a:p>
        </xdr:txBody>
      </xdr:sp>
      <xdr:sp>
        <xdr:nvSpPr>
          <xdr:cNvPr id="28" name="TextBox 44"/>
          <xdr:cNvSpPr txBox="1">
            <a:spLocks noChangeArrowheads="1"/>
          </xdr:cNvSpPr>
        </xdr:nvSpPr>
        <xdr:spPr>
          <a:xfrm>
            <a:off x="6699435" y="2734571"/>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3 months</a:t>
            </a:r>
          </a:p>
        </xdr:txBody>
      </xdr:sp>
      <xdr:sp>
        <xdr:nvSpPr>
          <xdr:cNvPr id="29" name="Rectangle 45"/>
          <xdr:cNvSpPr>
            <a:spLocks/>
          </xdr:cNvSpPr>
        </xdr:nvSpPr>
        <xdr:spPr>
          <a:xfrm>
            <a:off x="6699435" y="2734571"/>
            <a:ext cx="0" cy="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30" name="TextBox 46"/>
          <xdr:cNvSpPr txBox="1">
            <a:spLocks noChangeArrowheads="1"/>
          </xdr:cNvSpPr>
        </xdr:nvSpPr>
        <xdr:spPr>
          <a:xfrm>
            <a:off x="6699435" y="2734571"/>
            <a:ext cx="0" cy="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18 months</a:t>
            </a:r>
          </a:p>
        </xdr:txBody>
      </xdr:sp>
      <xdr:sp>
        <xdr:nvSpPr>
          <xdr:cNvPr id="31" name="Straight Connector 47"/>
          <xdr:cNvSpPr>
            <a:spLocks/>
          </xdr:cNvSpPr>
        </xdr:nvSpPr>
        <xdr:spPr>
          <a:xfrm>
            <a:off x="6699435" y="2734571"/>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32" name="Straight Connector 48"/>
          <xdr:cNvSpPr>
            <a:spLocks/>
          </xdr:cNvSpPr>
        </xdr:nvSpPr>
        <xdr:spPr>
          <a:xfrm>
            <a:off x="6699435" y="2734571"/>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33" name="Straight Connector 49"/>
          <xdr:cNvSpPr>
            <a:spLocks/>
          </xdr:cNvSpPr>
        </xdr:nvSpPr>
        <xdr:spPr>
          <a:xfrm flipV="1">
            <a:off x="6699435" y="2734571"/>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34" name="Straight Connector 50"/>
          <xdr:cNvSpPr>
            <a:spLocks/>
          </xdr:cNvSpPr>
        </xdr:nvSpPr>
        <xdr:spPr>
          <a:xfrm>
            <a:off x="6699435" y="2734571"/>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35" name="Straight Connector 51"/>
          <xdr:cNvSpPr>
            <a:spLocks/>
          </xdr:cNvSpPr>
        </xdr:nvSpPr>
        <xdr:spPr>
          <a:xfrm>
            <a:off x="6699435" y="2734571"/>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36" name="Straight Connector 52"/>
          <xdr:cNvSpPr>
            <a:spLocks/>
          </xdr:cNvSpPr>
        </xdr:nvSpPr>
        <xdr:spPr>
          <a:xfrm>
            <a:off x="6699435" y="2734571"/>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37" name="Straight Connector 53"/>
          <xdr:cNvSpPr>
            <a:spLocks/>
          </xdr:cNvSpPr>
        </xdr:nvSpPr>
        <xdr:spPr>
          <a:xfrm>
            <a:off x="6699435" y="2734571"/>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38" name="Straight Connector 54"/>
          <xdr:cNvSpPr>
            <a:spLocks/>
          </xdr:cNvSpPr>
        </xdr:nvSpPr>
        <xdr:spPr>
          <a:xfrm>
            <a:off x="6699435" y="2734571"/>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grpSp>
    <xdr:clientData/>
  </xdr:twoCellAnchor>
  <xdr:twoCellAnchor>
    <xdr:from>
      <xdr:col>2</xdr:col>
      <xdr:colOff>0</xdr:colOff>
      <xdr:row>11</xdr:row>
      <xdr:rowOff>0</xdr:rowOff>
    </xdr:from>
    <xdr:to>
      <xdr:col>2</xdr:col>
      <xdr:colOff>0</xdr:colOff>
      <xdr:row>11</xdr:row>
      <xdr:rowOff>0</xdr:rowOff>
    </xdr:to>
    <xdr:grpSp>
      <xdr:nvGrpSpPr>
        <xdr:cNvPr id="39" name="Group 26"/>
        <xdr:cNvGrpSpPr>
          <a:grpSpLocks/>
        </xdr:cNvGrpSpPr>
      </xdr:nvGrpSpPr>
      <xdr:grpSpPr>
        <a:xfrm>
          <a:off x="2171700" y="2733675"/>
          <a:ext cx="0" cy="0"/>
          <a:chOff x="15161559" y="5233707"/>
          <a:chExt cx="6566647" cy="895910"/>
        </a:xfrm>
        <a:solidFill>
          <a:srgbClr val="FFFFFF"/>
        </a:solidFill>
      </xdr:grpSpPr>
      <xdr:sp>
        <xdr:nvSpPr>
          <xdr:cNvPr id="40" name="Straight Connector 62"/>
          <xdr:cNvSpPr>
            <a:spLocks/>
          </xdr:cNvSpPr>
        </xdr:nvSpPr>
        <xdr:spPr>
          <a:xfrm>
            <a:off x="15161559" y="273389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41" name="Straight Connector 63"/>
          <xdr:cNvSpPr>
            <a:spLocks/>
          </xdr:cNvSpPr>
        </xdr:nvSpPr>
        <xdr:spPr>
          <a:xfrm>
            <a:off x="15161559" y="273389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42" name="Straight Connector 64"/>
          <xdr:cNvSpPr>
            <a:spLocks/>
          </xdr:cNvSpPr>
        </xdr:nvSpPr>
        <xdr:spPr>
          <a:xfrm>
            <a:off x="15161559" y="273389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sp>
        <xdr:nvSpPr>
          <xdr:cNvPr id="43" name="Straight Connector 65"/>
          <xdr:cNvSpPr>
            <a:spLocks/>
          </xdr:cNvSpPr>
        </xdr:nvSpPr>
        <xdr:spPr>
          <a:xfrm>
            <a:off x="15161559" y="273389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grpSp>
    <xdr:clientData/>
  </xdr:twoCellAnchor>
  <xdr:twoCellAnchor>
    <xdr:from>
      <xdr:col>2</xdr:col>
      <xdr:colOff>0</xdr:colOff>
      <xdr:row>10</xdr:row>
      <xdr:rowOff>228600</xdr:rowOff>
    </xdr:from>
    <xdr:to>
      <xdr:col>2</xdr:col>
      <xdr:colOff>0</xdr:colOff>
      <xdr:row>10</xdr:row>
      <xdr:rowOff>228600</xdr:rowOff>
    </xdr:to>
    <xdr:sp>
      <xdr:nvSpPr>
        <xdr:cNvPr id="44" name="Straight Connector 66"/>
        <xdr:cNvSpPr>
          <a:spLocks/>
        </xdr:cNvSpPr>
      </xdr:nvSpPr>
      <xdr:spPr>
        <a:xfrm>
          <a:off x="2171700" y="273367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xdr:col>
      <xdr:colOff>1800225</xdr:colOff>
      <xdr:row>10</xdr:row>
      <xdr:rowOff>228600</xdr:rowOff>
    </xdr:from>
    <xdr:to>
      <xdr:col>1</xdr:col>
      <xdr:colOff>1800225</xdr:colOff>
      <xdr:row>10</xdr:row>
      <xdr:rowOff>228600</xdr:rowOff>
    </xdr:to>
    <xdr:sp>
      <xdr:nvSpPr>
        <xdr:cNvPr id="45" name="Straight Connector 67"/>
        <xdr:cNvSpPr>
          <a:spLocks/>
        </xdr:cNvSpPr>
      </xdr:nvSpPr>
      <xdr:spPr>
        <a:xfrm>
          <a:off x="2171700" y="273367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xdr:col>
      <xdr:colOff>1800225</xdr:colOff>
      <xdr:row>10</xdr:row>
      <xdr:rowOff>228600</xdr:rowOff>
    </xdr:from>
    <xdr:to>
      <xdr:col>1</xdr:col>
      <xdr:colOff>1800225</xdr:colOff>
      <xdr:row>10</xdr:row>
      <xdr:rowOff>228600</xdr:rowOff>
    </xdr:to>
    <xdr:sp>
      <xdr:nvSpPr>
        <xdr:cNvPr id="46" name="Straight Connector 68"/>
        <xdr:cNvSpPr>
          <a:spLocks/>
        </xdr:cNvSpPr>
      </xdr:nvSpPr>
      <xdr:spPr>
        <a:xfrm>
          <a:off x="2171700" y="273367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0</xdr:colOff>
      <xdr:row>10</xdr:row>
      <xdr:rowOff>228600</xdr:rowOff>
    </xdr:from>
    <xdr:to>
      <xdr:col>2</xdr:col>
      <xdr:colOff>0</xdr:colOff>
      <xdr:row>10</xdr:row>
      <xdr:rowOff>228600</xdr:rowOff>
    </xdr:to>
    <xdr:sp>
      <xdr:nvSpPr>
        <xdr:cNvPr id="47" name="Straight Connector 69"/>
        <xdr:cNvSpPr>
          <a:spLocks/>
        </xdr:cNvSpPr>
      </xdr:nvSpPr>
      <xdr:spPr>
        <a:xfrm>
          <a:off x="2171700" y="273367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0</xdr:colOff>
      <xdr:row>10</xdr:row>
      <xdr:rowOff>228600</xdr:rowOff>
    </xdr:from>
    <xdr:to>
      <xdr:col>2</xdr:col>
      <xdr:colOff>0</xdr:colOff>
      <xdr:row>10</xdr:row>
      <xdr:rowOff>228600</xdr:rowOff>
    </xdr:to>
    <xdr:sp>
      <xdr:nvSpPr>
        <xdr:cNvPr id="48" name="Straight Connector 70"/>
        <xdr:cNvSpPr>
          <a:spLocks/>
        </xdr:cNvSpPr>
      </xdr:nvSpPr>
      <xdr:spPr>
        <a:xfrm>
          <a:off x="2171700" y="273367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xdr:col>
      <xdr:colOff>1800225</xdr:colOff>
      <xdr:row>10</xdr:row>
      <xdr:rowOff>228600</xdr:rowOff>
    </xdr:from>
    <xdr:to>
      <xdr:col>1</xdr:col>
      <xdr:colOff>1800225</xdr:colOff>
      <xdr:row>10</xdr:row>
      <xdr:rowOff>228600</xdr:rowOff>
    </xdr:to>
    <xdr:sp>
      <xdr:nvSpPr>
        <xdr:cNvPr id="49" name="Straight Connector 71"/>
        <xdr:cNvSpPr>
          <a:spLocks/>
        </xdr:cNvSpPr>
      </xdr:nvSpPr>
      <xdr:spPr>
        <a:xfrm>
          <a:off x="2171700" y="273367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0</xdr:colOff>
      <xdr:row>10</xdr:row>
      <xdr:rowOff>228600</xdr:rowOff>
    </xdr:from>
    <xdr:to>
      <xdr:col>2</xdr:col>
      <xdr:colOff>0</xdr:colOff>
      <xdr:row>10</xdr:row>
      <xdr:rowOff>228600</xdr:rowOff>
    </xdr:to>
    <xdr:sp>
      <xdr:nvSpPr>
        <xdr:cNvPr id="50" name="Straight Connector 72"/>
        <xdr:cNvSpPr>
          <a:spLocks/>
        </xdr:cNvSpPr>
      </xdr:nvSpPr>
      <xdr:spPr>
        <a:xfrm>
          <a:off x="2171700" y="273367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0</xdr:colOff>
      <xdr:row>10</xdr:row>
      <xdr:rowOff>228600</xdr:rowOff>
    </xdr:from>
    <xdr:to>
      <xdr:col>2</xdr:col>
      <xdr:colOff>0</xdr:colOff>
      <xdr:row>10</xdr:row>
      <xdr:rowOff>228600</xdr:rowOff>
    </xdr:to>
    <xdr:sp>
      <xdr:nvSpPr>
        <xdr:cNvPr id="51" name="Straight Connector 73"/>
        <xdr:cNvSpPr>
          <a:spLocks/>
        </xdr:cNvSpPr>
      </xdr:nvSpPr>
      <xdr:spPr>
        <a:xfrm>
          <a:off x="2171700" y="273367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xdr:col>
      <xdr:colOff>1800225</xdr:colOff>
      <xdr:row>10</xdr:row>
      <xdr:rowOff>228600</xdr:rowOff>
    </xdr:from>
    <xdr:to>
      <xdr:col>1</xdr:col>
      <xdr:colOff>1800225</xdr:colOff>
      <xdr:row>10</xdr:row>
      <xdr:rowOff>228600</xdr:rowOff>
    </xdr:to>
    <xdr:sp>
      <xdr:nvSpPr>
        <xdr:cNvPr id="52" name="Straight Connector 74"/>
        <xdr:cNvSpPr>
          <a:spLocks/>
        </xdr:cNvSpPr>
      </xdr:nvSpPr>
      <xdr:spPr>
        <a:xfrm>
          <a:off x="2171700" y="2733675"/>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0</xdr:colOff>
      <xdr:row>10</xdr:row>
      <xdr:rowOff>228600</xdr:rowOff>
    </xdr:from>
    <xdr:to>
      <xdr:col>2</xdr:col>
      <xdr:colOff>0</xdr:colOff>
      <xdr:row>10</xdr:row>
      <xdr:rowOff>228600</xdr:rowOff>
    </xdr:to>
    <xdr:sp>
      <xdr:nvSpPr>
        <xdr:cNvPr id="53" name="Straight Connector 75"/>
        <xdr:cNvSpPr>
          <a:spLocks/>
        </xdr:cNvSpPr>
      </xdr:nvSpPr>
      <xdr:spPr>
        <a:xfrm flipV="1">
          <a:off x="2171700" y="2733675"/>
          <a:ext cx="0"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228600</xdr:colOff>
      <xdr:row>13</xdr:row>
      <xdr:rowOff>66675</xdr:rowOff>
    </xdr:from>
    <xdr:ext cx="95250" cy="104775"/>
    <xdr:sp>
      <xdr:nvSpPr>
        <xdr:cNvPr id="1" name="Text Box 2"/>
        <xdr:cNvSpPr txBox="1">
          <a:spLocks noChangeArrowheads="1"/>
        </xdr:cNvSpPr>
      </xdr:nvSpPr>
      <xdr:spPr>
        <a:xfrm>
          <a:off x="6038850" y="5162550"/>
          <a:ext cx="95250" cy="104775"/>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i&#7875;u%20K&#7871;%20ho&#7841;ch%202021Ch&#432;&#417;ng%20tr&#236;nh%20RB-SUPRSWS.%20B&#7855;c%20K&#7841;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1-cu"/>
      <sheetName val="Sheet2"/>
      <sheetName val="Sheet4"/>
      <sheetName val="Bieu 4"/>
      <sheetName val="Sheet1"/>
      <sheetName val="Bieu 3 -"/>
      <sheetName val="Bieu 3 (cu)"/>
      <sheetName val="PL4"/>
      <sheetName val="PL4 (cu)"/>
      <sheetName val="PL6(cu)"/>
      <sheetName val="PL6-cu"/>
      <sheetName val="PL7 (cu)"/>
      <sheetName val="PL8 (cu)"/>
      <sheetName val="Sheet7"/>
      <sheetName val="Biểu 1"/>
      <sheetName val="Biểu 2"/>
      <sheetName val="Sheet3"/>
      <sheetName val="Biểu 3"/>
      <sheetName val="Sheet5"/>
      <sheetName val="Biểu 4."/>
      <sheetName val="Biểu 5"/>
      <sheetName val="Biểu 6"/>
      <sheetName val="Biểu 7"/>
      <sheetName val="Biểu 8"/>
      <sheetName val="Biểu 9"/>
      <sheetName val="Biểu 10"/>
      <sheetName val="Biểu 11"/>
    </sheetNames>
    <sheetDataSet>
      <sheetData sheetId="24">
        <row r="10">
          <cell r="Q10">
            <v>8463.47</v>
          </cell>
          <cell r="AG10">
            <v>418</v>
          </cell>
        </row>
        <row r="11">
          <cell r="Q11">
            <v>8726.356</v>
          </cell>
          <cell r="AG11">
            <v>447</v>
          </cell>
        </row>
        <row r="12">
          <cell r="Q12">
            <v>5382.311</v>
          </cell>
          <cell r="AG12">
            <v>415</v>
          </cell>
        </row>
        <row r="13">
          <cell r="Q13">
            <v>4400.295</v>
          </cell>
          <cell r="AG13">
            <v>440</v>
          </cell>
        </row>
        <row r="14">
          <cell r="Q14">
            <v>4974.863</v>
          </cell>
          <cell r="AG14">
            <v>364</v>
          </cell>
        </row>
        <row r="15">
          <cell r="Q15">
            <v>5235.621</v>
          </cell>
          <cell r="AG15">
            <v>315</v>
          </cell>
        </row>
        <row r="16">
          <cell r="Q16">
            <v>6576.851</v>
          </cell>
          <cell r="AG16">
            <v>658</v>
          </cell>
        </row>
        <row r="17">
          <cell r="Q17">
            <v>6880.074</v>
          </cell>
          <cell r="AG17">
            <v>770</v>
          </cell>
          <cell r="AH17">
            <v>104</v>
          </cell>
        </row>
        <row r="18">
          <cell r="Q18">
            <v>3490.596</v>
          </cell>
          <cell r="AG18">
            <v>230</v>
          </cell>
        </row>
        <row r="19">
          <cell r="Q19">
            <v>4816.425</v>
          </cell>
          <cell r="AG19">
            <v>602</v>
          </cell>
        </row>
        <row r="20">
          <cell r="Q20">
            <v>7948.397</v>
          </cell>
          <cell r="AG20">
            <v>424</v>
          </cell>
        </row>
        <row r="21">
          <cell r="Q21">
            <v>6945.966</v>
          </cell>
          <cell r="AH21">
            <v>486</v>
          </cell>
        </row>
        <row r="22">
          <cell r="Q22">
            <v>1713.73</v>
          </cell>
          <cell r="AI22">
            <v>165</v>
          </cell>
        </row>
        <row r="23">
          <cell r="Q23">
            <v>4363.83</v>
          </cell>
          <cell r="AI23">
            <v>438</v>
          </cell>
        </row>
        <row r="24">
          <cell r="Q24">
            <v>2780.9939999999997</v>
          </cell>
          <cell r="AI24">
            <v>175</v>
          </cell>
        </row>
        <row r="25">
          <cell r="Q25">
            <v>4816.186</v>
          </cell>
          <cell r="AI25">
            <v>148</v>
          </cell>
        </row>
        <row r="26">
          <cell r="Q26">
            <v>3295.324</v>
          </cell>
          <cell r="AI26">
            <v>315</v>
          </cell>
        </row>
        <row r="27">
          <cell r="Q27">
            <v>4222.68</v>
          </cell>
          <cell r="AI27">
            <v>391</v>
          </cell>
        </row>
        <row r="28">
          <cell r="Q28">
            <v>2912.94</v>
          </cell>
          <cell r="AI28">
            <v>321</v>
          </cell>
        </row>
        <row r="29">
          <cell r="Q29">
            <v>3273.037772</v>
          </cell>
          <cell r="AI29">
            <v>263</v>
          </cell>
        </row>
        <row r="30">
          <cell r="Q30">
            <v>3610.043144999996</v>
          </cell>
          <cell r="AI30">
            <v>141</v>
          </cell>
        </row>
        <row r="31">
          <cell r="Q31">
            <v>1779.85</v>
          </cell>
          <cell r="AI31">
            <v>127</v>
          </cell>
        </row>
        <row r="32">
          <cell r="Q32">
            <v>2019.7</v>
          </cell>
          <cell r="AI32">
            <v>239</v>
          </cell>
        </row>
        <row r="33">
          <cell r="Q33">
            <v>7492.05</v>
          </cell>
          <cell r="AI33">
            <v>419</v>
          </cell>
        </row>
        <row r="34">
          <cell r="Q34">
            <v>6803.75</v>
          </cell>
          <cell r="AI34">
            <v>462</v>
          </cell>
        </row>
        <row r="35">
          <cell r="Q35">
            <v>2492.39</v>
          </cell>
          <cell r="AI35">
            <v>166</v>
          </cell>
        </row>
        <row r="36">
          <cell r="Q36">
            <v>5932.98</v>
          </cell>
          <cell r="AI36">
            <v>324</v>
          </cell>
        </row>
        <row r="37">
          <cell r="Q37">
            <v>5576.213011</v>
          </cell>
          <cell r="AJ37">
            <v>222</v>
          </cell>
        </row>
        <row r="38">
          <cell r="Q38">
            <v>8418.64538059265</v>
          </cell>
          <cell r="AJ38">
            <v>422</v>
          </cell>
        </row>
        <row r="39">
          <cell r="Q39">
            <v>3206.8109160000004</v>
          </cell>
          <cell r="AJ39">
            <v>140</v>
          </cell>
        </row>
        <row r="40">
          <cell r="Q40">
            <v>5051.06</v>
          </cell>
          <cell r="AJ40">
            <v>421</v>
          </cell>
        </row>
        <row r="41">
          <cell r="Q41">
            <v>6445</v>
          </cell>
          <cell r="AJ41">
            <v>466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J44"/>
  <sheetViews>
    <sheetView zoomScalePageLayoutView="0" workbookViewId="0" topLeftCell="A1">
      <pane ySplit="5" topLeftCell="A38" activePane="bottomLeft" state="frozen"/>
      <selection pane="topLeft" activeCell="C23" sqref="C23"/>
      <selection pane="bottomLeft" activeCell="A2" sqref="A1:G2"/>
    </sheetView>
  </sheetViews>
  <sheetFormatPr defaultColWidth="8.796875" defaultRowHeight="15"/>
  <cols>
    <col min="1" max="1" width="3.3984375" style="421" customWidth="1"/>
    <col min="2" max="2" width="42.69921875" style="421" customWidth="1"/>
    <col min="3" max="3" width="9" style="421" customWidth="1"/>
    <col min="4" max="4" width="10.69921875" style="421" customWidth="1"/>
    <col min="5" max="5" width="11.69921875" style="421" hidden="1" customWidth="1"/>
    <col min="6" max="7" width="11.09765625" style="421" customWidth="1"/>
    <col min="8" max="9" width="9" style="421" customWidth="1"/>
    <col min="10" max="10" width="12.3984375" style="421" customWidth="1"/>
    <col min="11" max="16384" width="9" style="421" customWidth="1"/>
  </cols>
  <sheetData>
    <row r="1" spans="1:7" ht="21.75" customHeight="1">
      <c r="A1" s="1354" t="s">
        <v>846</v>
      </c>
      <c r="B1" s="1354"/>
      <c r="C1" s="1354"/>
      <c r="D1" s="1354"/>
      <c r="E1" s="1354"/>
      <c r="F1" s="1354"/>
      <c r="G1" s="1354"/>
    </row>
    <row r="2" spans="1:7" ht="21.75" customHeight="1">
      <c r="A2" s="1353" t="s">
        <v>503</v>
      </c>
      <c r="B2" s="1353"/>
      <c r="C2" s="1353"/>
      <c r="D2" s="1353"/>
      <c r="E2" s="1353"/>
      <c r="F2" s="1353"/>
      <c r="G2" s="1353"/>
    </row>
    <row r="3" spans="1:7" s="424" customFormat="1" ht="14.25" customHeight="1">
      <c r="A3" s="422"/>
      <c r="B3" s="422"/>
      <c r="C3" s="422"/>
      <c r="D3" s="422"/>
      <c r="E3" s="422"/>
      <c r="F3" s="422"/>
      <c r="G3" s="423"/>
    </row>
    <row r="4" spans="1:7" s="425" customFormat="1" ht="27" customHeight="1">
      <c r="A4" s="1355" t="s">
        <v>488</v>
      </c>
      <c r="B4" s="1355" t="s">
        <v>847</v>
      </c>
      <c r="C4" s="1355" t="s">
        <v>848</v>
      </c>
      <c r="D4" s="1355" t="s">
        <v>849</v>
      </c>
      <c r="E4" s="1358" t="s">
        <v>850</v>
      </c>
      <c r="F4" s="1359"/>
      <c r="G4" s="1352" t="s">
        <v>893</v>
      </c>
    </row>
    <row r="5" spans="1:8" s="426" customFormat="1" ht="32.25" customHeight="1">
      <c r="A5" s="1356"/>
      <c r="B5" s="1356"/>
      <c r="C5" s="1356"/>
      <c r="D5" s="1357"/>
      <c r="E5" s="1360"/>
      <c r="F5" s="1361"/>
      <c r="G5" s="1352"/>
      <c r="H5" s="426" t="s">
        <v>851</v>
      </c>
    </row>
    <row r="6" spans="1:7" s="426" customFormat="1" ht="18.75" customHeight="1">
      <c r="A6" s="427" t="s">
        <v>486</v>
      </c>
      <c r="B6" s="428" t="s">
        <v>812</v>
      </c>
      <c r="C6" s="429"/>
      <c r="D6" s="428"/>
      <c r="E6" s="428"/>
      <c r="F6" s="428"/>
      <c r="G6" s="428"/>
    </row>
    <row r="7" spans="1:10" s="424" customFormat="1" ht="18.75" customHeight="1">
      <c r="A7" s="430">
        <v>1</v>
      </c>
      <c r="B7" s="431" t="s">
        <v>852</v>
      </c>
      <c r="C7" s="430" t="s">
        <v>853</v>
      </c>
      <c r="D7" s="212">
        <v>1217431</v>
      </c>
      <c r="E7" s="212">
        <f>+(F7-H7)/2+H7</f>
        <v>1201207</v>
      </c>
      <c r="F7" s="212">
        <v>1207183</v>
      </c>
      <c r="G7" s="212">
        <f>+F7*1.01</f>
        <v>1219254.83</v>
      </c>
      <c r="H7" s="212">
        <v>1195231</v>
      </c>
      <c r="I7" s="424">
        <f>+H7*1%</f>
        <v>11952.31</v>
      </c>
      <c r="J7" s="432">
        <f>+I7+H7</f>
        <v>1207183.31</v>
      </c>
    </row>
    <row r="8" spans="1:8" s="424" customFormat="1" ht="18.75" customHeight="1">
      <c r="A8" s="430"/>
      <c r="B8" s="431" t="s">
        <v>854</v>
      </c>
      <c r="C8" s="430" t="s">
        <v>853</v>
      </c>
      <c r="D8" s="212">
        <f>D7*16%</f>
        <v>194788.96</v>
      </c>
      <c r="E8" s="212">
        <f>+E7*15%</f>
        <v>180181.05</v>
      </c>
      <c r="F8" s="212">
        <f>+F7*15%</f>
        <v>181077.44999999998</v>
      </c>
      <c r="G8" s="212">
        <f>+G7*15%</f>
        <v>182888.2245</v>
      </c>
      <c r="H8" s="212">
        <v>197213</v>
      </c>
    </row>
    <row r="9" spans="1:10" s="424" customFormat="1" ht="18.75" customHeight="1">
      <c r="A9" s="430">
        <v>2</v>
      </c>
      <c r="B9" s="431" t="s">
        <v>855</v>
      </c>
      <c r="C9" s="430" t="s">
        <v>856</v>
      </c>
      <c r="D9" s="212">
        <v>320377</v>
      </c>
      <c r="E9" s="212">
        <f>+E7*27%</f>
        <v>324325.89</v>
      </c>
      <c r="F9" s="212">
        <f>+F7*27%</f>
        <v>325939.41000000003</v>
      </c>
      <c r="G9" s="212">
        <f>+G7*27%</f>
        <v>329198.80410000007</v>
      </c>
      <c r="H9" s="212">
        <v>317262</v>
      </c>
      <c r="J9" s="433">
        <f>+H9/H7</f>
        <v>0.2654399024121697</v>
      </c>
    </row>
    <row r="10" spans="1:8" s="424" customFormat="1" ht="18.75" customHeight="1">
      <c r="A10" s="430">
        <v>3</v>
      </c>
      <c r="B10" s="431" t="s">
        <v>857</v>
      </c>
      <c r="C10" s="430" t="s">
        <v>853</v>
      </c>
      <c r="D10" s="212">
        <f>D7*D12%</f>
        <v>25931.2803</v>
      </c>
      <c r="E10" s="212">
        <f>E7*E12%</f>
        <v>18018.105</v>
      </c>
      <c r="F10" s="212">
        <f>F7*F12%</f>
        <v>25713.23999693782</v>
      </c>
      <c r="G10" s="212">
        <f>G7*G12%</f>
        <v>36455.719416999935</v>
      </c>
      <c r="H10" s="212">
        <v>59164</v>
      </c>
    </row>
    <row r="11" spans="1:8" s="424" customFormat="1" ht="18.75" customHeight="1">
      <c r="A11" s="430"/>
      <c r="B11" s="431" t="s">
        <v>858</v>
      </c>
      <c r="C11" s="430" t="s">
        <v>853</v>
      </c>
      <c r="D11" s="212">
        <f>D13%*D7</f>
        <v>1046990.66</v>
      </c>
      <c r="E11" s="212">
        <f>E13%*E7</f>
        <v>1015019.9149999999</v>
      </c>
      <c r="F11" s="212">
        <f>F13%*F7</f>
        <v>1038298.0983000001</v>
      </c>
      <c r="G11" s="212">
        <f>G13%*G7</f>
        <v>1085136.7987000002</v>
      </c>
      <c r="H11" s="212">
        <v>1002440</v>
      </c>
    </row>
    <row r="12" spans="1:8" s="424" customFormat="1" ht="18.75" customHeight="1">
      <c r="A12" s="430">
        <v>4</v>
      </c>
      <c r="B12" s="431" t="s">
        <v>859</v>
      </c>
      <c r="C12" s="430" t="s">
        <v>494</v>
      </c>
      <c r="D12" s="434">
        <v>2.13</v>
      </c>
      <c r="E12" s="434">
        <f>+D13-E13</f>
        <v>1.5</v>
      </c>
      <c r="F12" s="210">
        <f>+D13-H13</f>
        <v>2.130020054700722</v>
      </c>
      <c r="G12" s="210">
        <f>+G13-F13</f>
        <v>2.989999999999995</v>
      </c>
      <c r="H12" s="434">
        <v>4.95</v>
      </c>
    </row>
    <row r="13" spans="1:8" s="424" customFormat="1" ht="18.75" customHeight="1">
      <c r="A13" s="430"/>
      <c r="B13" s="431" t="s">
        <v>860</v>
      </c>
      <c r="C13" s="430" t="s">
        <v>494</v>
      </c>
      <c r="D13" s="434">
        <v>86</v>
      </c>
      <c r="E13" s="210">
        <v>84.5</v>
      </c>
      <c r="F13" s="213">
        <v>86.01</v>
      </c>
      <c r="G13" s="486">
        <v>89</v>
      </c>
      <c r="H13" s="210">
        <f>+H11*100/H7</f>
        <v>83.86997994529928</v>
      </c>
    </row>
    <row r="14" spans="1:7" s="440" customFormat="1" ht="18.75" customHeight="1" hidden="1">
      <c r="A14" s="435"/>
      <c r="B14" s="436" t="s">
        <v>861</v>
      </c>
      <c r="C14" s="435" t="s">
        <v>494</v>
      </c>
      <c r="D14" s="437"/>
      <c r="E14" s="211"/>
      <c r="F14" s="438"/>
      <c r="G14" s="439"/>
    </row>
    <row r="15" spans="1:7" s="440" customFormat="1" ht="18.75" customHeight="1" hidden="1">
      <c r="A15" s="435"/>
      <c r="B15" s="436" t="s">
        <v>862</v>
      </c>
      <c r="C15" s="435" t="s">
        <v>494</v>
      </c>
      <c r="D15" s="441"/>
      <c r="E15" s="211"/>
      <c r="F15" s="438"/>
      <c r="G15" s="439"/>
    </row>
    <row r="16" spans="1:8" s="424" customFormat="1" ht="18.75" customHeight="1">
      <c r="A16" s="430">
        <v>5</v>
      </c>
      <c r="B16" s="431" t="s">
        <v>863</v>
      </c>
      <c r="C16" s="430" t="s">
        <v>853</v>
      </c>
      <c r="D16" s="212">
        <f>D7*D18%</f>
        <v>15583.116800000002</v>
      </c>
      <c r="E16" s="212">
        <f>E7*E18%</f>
        <v>8408.448999999999</v>
      </c>
      <c r="F16" s="212">
        <f>F7*F18%</f>
        <v>12071.83</v>
      </c>
      <c r="G16" s="212">
        <f>G7*G18%</f>
        <v>30481.370750000002</v>
      </c>
      <c r="H16" s="212">
        <f>+H18%*H9</f>
        <v>11516.6106</v>
      </c>
    </row>
    <row r="17" spans="1:8" s="424" customFormat="1" ht="18.75" customHeight="1">
      <c r="A17" s="430"/>
      <c r="B17" s="431" t="s">
        <v>864</v>
      </c>
      <c r="C17" s="430" t="s">
        <v>853</v>
      </c>
      <c r="D17" s="212">
        <f>D7*D19%</f>
        <v>456536.625</v>
      </c>
      <c r="E17" s="212">
        <f>E7*E19%</f>
        <v>443485.62440000003</v>
      </c>
      <c r="F17" s="212">
        <f>F7*F19%</f>
        <v>452693.625</v>
      </c>
      <c r="G17" s="212">
        <f>G7*G19%</f>
        <v>487701.93200000003</v>
      </c>
      <c r="H17" s="212">
        <f>+H19%*H9</f>
        <v>114912.29639999999</v>
      </c>
    </row>
    <row r="18" spans="1:8" s="424" customFormat="1" ht="18.75" customHeight="1">
      <c r="A18" s="430">
        <v>6</v>
      </c>
      <c r="B18" s="431" t="s">
        <v>865</v>
      </c>
      <c r="C18" s="430" t="s">
        <v>494</v>
      </c>
      <c r="D18" s="213">
        <v>1.28</v>
      </c>
      <c r="E18" s="434">
        <v>0.7</v>
      </c>
      <c r="F18" s="431">
        <v>1</v>
      </c>
      <c r="G18" s="442">
        <f>+G19-F19</f>
        <v>2.5</v>
      </c>
      <c r="H18" s="434">
        <v>3.63</v>
      </c>
    </row>
    <row r="19" spans="1:8" s="424" customFormat="1" ht="18.75" customHeight="1">
      <c r="A19" s="443"/>
      <c r="B19" s="444" t="s">
        <v>866</v>
      </c>
      <c r="C19" s="443" t="s">
        <v>494</v>
      </c>
      <c r="D19" s="214">
        <v>37.5</v>
      </c>
      <c r="E19" s="445">
        <f>+H19+E18</f>
        <v>36.92</v>
      </c>
      <c r="F19" s="446">
        <f>+D19</f>
        <v>37.5</v>
      </c>
      <c r="G19" s="532">
        <v>40</v>
      </c>
      <c r="H19" s="445">
        <v>36.22</v>
      </c>
    </row>
    <row r="20" spans="1:7" s="440" customFormat="1" ht="18.75" customHeight="1" hidden="1">
      <c r="A20" s="447"/>
      <c r="B20" s="448" t="s">
        <v>867</v>
      </c>
      <c r="C20" s="447" t="s">
        <v>494</v>
      </c>
      <c r="D20" s="449"/>
      <c r="E20" s="449"/>
      <c r="F20" s="448"/>
      <c r="G20" s="450"/>
    </row>
    <row r="21" spans="1:7" s="440" customFormat="1" ht="18.75" customHeight="1" hidden="1">
      <c r="A21" s="451"/>
      <c r="B21" s="452" t="s">
        <v>868</v>
      </c>
      <c r="C21" s="451" t="s">
        <v>494</v>
      </c>
      <c r="D21" s="453"/>
      <c r="E21" s="453"/>
      <c r="F21" s="452"/>
      <c r="G21" s="450"/>
    </row>
    <row r="22" spans="1:8" s="424" customFormat="1" ht="18.75" customHeight="1">
      <c r="A22" s="454" t="s">
        <v>484</v>
      </c>
      <c r="B22" s="455" t="s">
        <v>869</v>
      </c>
      <c r="C22" s="456"/>
      <c r="D22" s="457"/>
      <c r="E22" s="457"/>
      <c r="F22" s="458"/>
      <c r="G22" s="458"/>
      <c r="H22" s="458"/>
    </row>
    <row r="23" spans="1:8" s="426" customFormat="1" ht="18.75" customHeight="1">
      <c r="A23" s="430"/>
      <c r="B23" s="431" t="s">
        <v>870</v>
      </c>
      <c r="C23" s="430" t="s">
        <v>856</v>
      </c>
      <c r="D23" s="212">
        <f>D9*D25%</f>
        <v>10123.9132</v>
      </c>
      <c r="E23" s="212">
        <f>E9*E25%</f>
        <v>6486.5178000000005</v>
      </c>
      <c r="F23" s="212">
        <f>F9*F25%</f>
        <v>9647.806536000004</v>
      </c>
      <c r="G23" s="212">
        <v>11730</v>
      </c>
      <c r="H23" s="212">
        <v>9645</v>
      </c>
    </row>
    <row r="24" spans="1:8" s="424" customFormat="1" ht="18.75" customHeight="1">
      <c r="A24" s="430"/>
      <c r="B24" s="431" t="s">
        <v>871</v>
      </c>
      <c r="C24" s="430" t="s">
        <v>856</v>
      </c>
      <c r="D24" s="212">
        <f>D9*D26%</f>
        <v>188381.67599999998</v>
      </c>
      <c r="E24" s="212">
        <f>E9*E26%</f>
        <v>184865.7573</v>
      </c>
      <c r="F24" s="212">
        <f>F9*F26%</f>
        <v>191000.49426</v>
      </c>
      <c r="G24" s="212">
        <f>+F24+G23</f>
        <v>202730.49426</v>
      </c>
      <c r="H24" s="212">
        <v>176525</v>
      </c>
    </row>
    <row r="25" spans="1:8" s="424" customFormat="1" ht="18.75" customHeight="1">
      <c r="A25" s="430"/>
      <c r="B25" s="431" t="s">
        <v>872</v>
      </c>
      <c r="C25" s="430" t="s">
        <v>494</v>
      </c>
      <c r="D25" s="213">
        <v>3.16</v>
      </c>
      <c r="E25" s="434">
        <v>2</v>
      </c>
      <c r="F25" s="213">
        <f>+F26-H26</f>
        <v>2.960000000000001</v>
      </c>
      <c r="G25" s="213">
        <f>+G26-F26</f>
        <v>2.9829983994768625</v>
      </c>
      <c r="H25" s="434">
        <v>3</v>
      </c>
    </row>
    <row r="26" spans="1:8" s="424" customFormat="1" ht="18.75" customHeight="1">
      <c r="A26" s="443"/>
      <c r="B26" s="444" t="s">
        <v>873</v>
      </c>
      <c r="C26" s="443" t="s">
        <v>494</v>
      </c>
      <c r="D26" s="214">
        <v>58.8</v>
      </c>
      <c r="E26" s="445">
        <v>57</v>
      </c>
      <c r="F26" s="444">
        <v>58.6</v>
      </c>
      <c r="G26" s="487">
        <f>+G24/G9%</f>
        <v>61.582998399476864</v>
      </c>
      <c r="H26" s="445">
        <v>55.64</v>
      </c>
    </row>
    <row r="27" spans="1:8" s="465" customFormat="1" ht="18.75" customHeight="1" hidden="1">
      <c r="A27" s="459"/>
      <c r="B27" s="460" t="s">
        <v>874</v>
      </c>
      <c r="C27" s="459"/>
      <c r="D27" s="461"/>
      <c r="E27" s="462"/>
      <c r="F27" s="460"/>
      <c r="G27" s="463"/>
      <c r="H27" s="464"/>
    </row>
    <row r="28" spans="1:8" s="465" customFormat="1" ht="18.75" customHeight="1" hidden="1">
      <c r="A28" s="466"/>
      <c r="B28" s="467" t="s">
        <v>875</v>
      </c>
      <c r="C28" s="466"/>
      <c r="D28" s="468"/>
      <c r="E28" s="469"/>
      <c r="F28" s="467"/>
      <c r="G28" s="463"/>
      <c r="H28" s="464"/>
    </row>
    <row r="29" spans="1:8" s="424" customFormat="1" ht="36" customHeight="1">
      <c r="A29" s="454" t="s">
        <v>496</v>
      </c>
      <c r="B29" s="470" t="s">
        <v>876</v>
      </c>
      <c r="C29" s="456"/>
      <c r="D29" s="471"/>
      <c r="E29" s="457"/>
      <c r="F29" s="458"/>
      <c r="G29" s="458"/>
      <c r="H29" s="458"/>
    </row>
    <row r="30" spans="1:9" s="424" customFormat="1" ht="19.5" customHeight="1">
      <c r="A30" s="472">
        <v>1</v>
      </c>
      <c r="B30" s="473" t="s">
        <v>877</v>
      </c>
      <c r="C30" s="472"/>
      <c r="D30" s="212"/>
      <c r="E30" s="474"/>
      <c r="F30" s="212"/>
      <c r="G30" s="212"/>
      <c r="H30" s="431"/>
      <c r="I30" s="432">
        <f>D30-E30</f>
        <v>0</v>
      </c>
    </row>
    <row r="31" spans="1:8" s="424" customFormat="1" ht="19.5" customHeight="1">
      <c r="A31" s="430"/>
      <c r="B31" s="431" t="s">
        <v>739</v>
      </c>
      <c r="C31" s="430" t="s">
        <v>878</v>
      </c>
      <c r="D31" s="212">
        <v>901</v>
      </c>
      <c r="E31" s="212">
        <v>901</v>
      </c>
      <c r="F31" s="212">
        <v>901</v>
      </c>
      <c r="G31" s="212">
        <v>901</v>
      </c>
      <c r="H31" s="212">
        <v>901</v>
      </c>
    </row>
    <row r="32" spans="1:9" s="424" customFormat="1" ht="19.5" customHeight="1">
      <c r="A32" s="430"/>
      <c r="B32" s="431" t="s">
        <v>879</v>
      </c>
      <c r="C32" s="430" t="s">
        <v>878</v>
      </c>
      <c r="D32" s="212">
        <v>28</v>
      </c>
      <c r="E32" s="212">
        <v>0</v>
      </c>
      <c r="F32" s="212">
        <v>24</v>
      </c>
      <c r="G32" s="212">
        <v>40</v>
      </c>
      <c r="H32" s="212">
        <v>13</v>
      </c>
      <c r="I32" s="475">
        <f>+D32/D31</f>
        <v>0.03107658157602664</v>
      </c>
    </row>
    <row r="33" spans="1:8" s="424" customFormat="1" ht="19.5" customHeight="1">
      <c r="A33" s="430"/>
      <c r="B33" s="431" t="s">
        <v>880</v>
      </c>
      <c r="C33" s="430" t="s">
        <v>878</v>
      </c>
      <c r="D33" s="212">
        <v>800</v>
      </c>
      <c r="E33" s="212">
        <f>+E32+H33</f>
        <v>772</v>
      </c>
      <c r="F33" s="212">
        <f>+E33+F32</f>
        <v>796</v>
      </c>
      <c r="G33" s="212">
        <f>+G32+F33</f>
        <v>836</v>
      </c>
      <c r="H33" s="212">
        <v>772</v>
      </c>
    </row>
    <row r="34" spans="1:8" s="426" customFormat="1" ht="19.5" customHeight="1">
      <c r="A34" s="430"/>
      <c r="B34" s="431" t="s">
        <v>881</v>
      </c>
      <c r="C34" s="430" t="s">
        <v>494</v>
      </c>
      <c r="D34" s="213">
        <v>3.1</v>
      </c>
      <c r="E34" s="476">
        <f>+E32/E31</f>
        <v>0</v>
      </c>
      <c r="F34" s="476">
        <f>+F32/F31</f>
        <v>0.026637069922308545</v>
      </c>
      <c r="G34" s="477">
        <f>+G35-F35%</f>
        <v>0.03845793562708111</v>
      </c>
      <c r="H34" s="434">
        <v>0.7</v>
      </c>
    </row>
    <row r="35" spans="1:9" s="426" customFormat="1" ht="19.5" customHeight="1">
      <c r="A35" s="430"/>
      <c r="B35" s="431" t="s">
        <v>882</v>
      </c>
      <c r="C35" s="430" t="s">
        <v>494</v>
      </c>
      <c r="D35" s="213">
        <f>D33/D31*100</f>
        <v>88.79023307436182</v>
      </c>
      <c r="E35" s="210">
        <f>+H35+E34*100</f>
        <v>85.68257491675915</v>
      </c>
      <c r="F35" s="210">
        <v>88.94</v>
      </c>
      <c r="G35" s="489">
        <f>+G33/G31</f>
        <v>0.9278579356270811</v>
      </c>
      <c r="H35" s="210">
        <f>+H33*100/H31</f>
        <v>85.68257491675915</v>
      </c>
      <c r="I35" s="478">
        <f>+F35-E35</f>
        <v>3.2574250832408467</v>
      </c>
    </row>
    <row r="36" spans="1:8" s="424" customFormat="1" ht="19.5" customHeight="1">
      <c r="A36" s="472">
        <v>2</v>
      </c>
      <c r="B36" s="473" t="s">
        <v>883</v>
      </c>
      <c r="C36" s="472"/>
      <c r="D36" s="212"/>
      <c r="E36" s="474"/>
      <c r="F36" s="431"/>
      <c r="G36" s="431"/>
      <c r="H36" s="431"/>
    </row>
    <row r="37" spans="1:8" s="424" customFormat="1" ht="19.5" customHeight="1">
      <c r="A37" s="430"/>
      <c r="B37" s="431" t="s">
        <v>884</v>
      </c>
      <c r="C37" s="430" t="s">
        <v>878</v>
      </c>
      <c r="D37" s="212">
        <v>260</v>
      </c>
      <c r="E37" s="212">
        <v>260</v>
      </c>
      <c r="F37" s="431">
        <v>260</v>
      </c>
      <c r="G37" s="431">
        <v>260</v>
      </c>
      <c r="H37" s="212">
        <v>260</v>
      </c>
    </row>
    <row r="38" spans="1:8" s="424" customFormat="1" ht="19.5" customHeight="1">
      <c r="A38" s="430"/>
      <c r="B38" s="431" t="s">
        <v>885</v>
      </c>
      <c r="C38" s="430" t="s">
        <v>878</v>
      </c>
      <c r="D38" s="212">
        <v>14</v>
      </c>
      <c r="E38" s="212">
        <v>0</v>
      </c>
      <c r="F38" s="431">
        <v>14</v>
      </c>
      <c r="G38" s="431">
        <v>13</v>
      </c>
      <c r="H38" s="212">
        <v>14</v>
      </c>
    </row>
    <row r="39" spans="1:8" s="424" customFormat="1" ht="19.5" customHeight="1">
      <c r="A39" s="430"/>
      <c r="B39" s="431" t="s">
        <v>886</v>
      </c>
      <c r="C39" s="430" t="s">
        <v>878</v>
      </c>
      <c r="D39" s="212">
        <v>243</v>
      </c>
      <c r="E39" s="212">
        <f>+E38+H39</f>
        <v>229</v>
      </c>
      <c r="F39" s="479">
        <f>+F41/100*F37</f>
        <v>242.996</v>
      </c>
      <c r="G39" s="479">
        <f>+F39+G38</f>
        <v>255.996</v>
      </c>
      <c r="H39" s="212">
        <v>229</v>
      </c>
    </row>
    <row r="40" spans="1:8" s="424" customFormat="1" ht="19.5" customHeight="1">
      <c r="A40" s="430"/>
      <c r="B40" s="431" t="s">
        <v>888</v>
      </c>
      <c r="C40" s="430" t="s">
        <v>494</v>
      </c>
      <c r="D40" s="213">
        <v>5.38</v>
      </c>
      <c r="E40" s="476">
        <f>+E38/E37</f>
        <v>0</v>
      </c>
      <c r="F40" s="210">
        <v>5.38</v>
      </c>
      <c r="G40" s="210">
        <f>+G38*100/G37</f>
        <v>5</v>
      </c>
      <c r="H40" s="434">
        <f>+H38*100/H37</f>
        <v>5.384615384615385</v>
      </c>
    </row>
    <row r="41" spans="1:9" s="424" customFormat="1" ht="19.5" customHeight="1">
      <c r="A41" s="443"/>
      <c r="B41" s="444" t="s">
        <v>889</v>
      </c>
      <c r="C41" s="443" t="s">
        <v>494</v>
      </c>
      <c r="D41" s="214">
        <f>D39/D37*100</f>
        <v>93.46153846153847</v>
      </c>
      <c r="E41" s="229">
        <f>+H41+E40*100</f>
        <v>88.07692307692308</v>
      </c>
      <c r="F41" s="444">
        <v>93.46</v>
      </c>
      <c r="G41" s="490">
        <f>+G40+F41</f>
        <v>98.46</v>
      </c>
      <c r="H41" s="434">
        <f>+H39*100/H37</f>
        <v>88.07692307692308</v>
      </c>
      <c r="I41" s="478">
        <f>+F41-E41</f>
        <v>5.3830769230769135</v>
      </c>
    </row>
    <row r="42" spans="1:10" s="424" customFormat="1" ht="18.75" customHeight="1">
      <c r="A42" s="454" t="s">
        <v>498</v>
      </c>
      <c r="B42" s="455" t="s">
        <v>890</v>
      </c>
      <c r="C42" s="456"/>
      <c r="D42" s="471"/>
      <c r="E42" s="457"/>
      <c r="F42" s="458"/>
      <c r="G42" s="458"/>
      <c r="J42" s="424">
        <f>4.98+0.6</f>
        <v>5.58</v>
      </c>
    </row>
    <row r="43" spans="1:10" s="424" customFormat="1" ht="18.75" customHeight="1">
      <c r="A43" s="430"/>
      <c r="B43" s="480" t="s">
        <v>891</v>
      </c>
      <c r="C43" s="430" t="s">
        <v>878</v>
      </c>
      <c r="D43" s="212">
        <f>156985*D44%</f>
        <v>79591.395</v>
      </c>
      <c r="E43" s="212">
        <f>156985*E44%</f>
        <v>77958.751</v>
      </c>
      <c r="F43" s="212">
        <f>156985*F44%</f>
        <v>79434.41</v>
      </c>
      <c r="G43" s="212">
        <f>156985*G44%</f>
        <v>81632.2</v>
      </c>
      <c r="H43" s="481">
        <v>76796</v>
      </c>
      <c r="J43" s="482">
        <f>70000000*14%</f>
        <v>9800000.000000002</v>
      </c>
    </row>
    <row r="44" spans="1:8" s="424" customFormat="1" ht="18.75" customHeight="1">
      <c r="A44" s="443"/>
      <c r="B44" s="483" t="s">
        <v>892</v>
      </c>
      <c r="C44" s="443" t="s">
        <v>494</v>
      </c>
      <c r="D44" s="214">
        <v>50.7</v>
      </c>
      <c r="E44" s="484">
        <f>+H44+1</f>
        <v>49.66</v>
      </c>
      <c r="F44" s="444">
        <v>50.6</v>
      </c>
      <c r="G44" s="488">
        <v>52</v>
      </c>
      <c r="H44" s="484">
        <v>48.66</v>
      </c>
    </row>
    <row r="45" s="485" customFormat="1" ht="15"/>
  </sheetData>
  <sheetProtection/>
  <mergeCells count="8">
    <mergeCell ref="G4:G5"/>
    <mergeCell ref="A2:G2"/>
    <mergeCell ref="A1:G1"/>
    <mergeCell ref="A4:A5"/>
    <mergeCell ref="B4:B5"/>
    <mergeCell ref="C4:C5"/>
    <mergeCell ref="D4:D5"/>
    <mergeCell ref="E4:F5"/>
  </mergeCells>
  <printOptions horizontalCentered="1"/>
  <pageMargins left="0.5" right="0.5" top="0.72" bottom="0.68" header="0.5" footer="0.5"/>
  <pageSetup firstPageNumber="1" useFirstPageNumber="1" horizontalDpi="600" verticalDpi="600" orientation="portrait" paperSize="9" scale="95" r:id="rId3"/>
  <headerFooter alignWithMargins="0">
    <oddFooter>&amp;C&amp;P</oddFooter>
  </headerFooter>
  <legacyDrawing r:id="rId2"/>
</worksheet>
</file>

<file path=xl/worksheets/sheet10.xml><?xml version="1.0" encoding="utf-8"?>
<worksheet xmlns="http://schemas.openxmlformats.org/spreadsheetml/2006/main" xmlns:r="http://schemas.openxmlformats.org/officeDocument/2006/relationships">
  <dimension ref="A1:W172"/>
  <sheetViews>
    <sheetView zoomScale="82" zoomScaleNormal="82" zoomScalePageLayoutView="0" workbookViewId="0" topLeftCell="A1">
      <pane xSplit="5" ySplit="4" topLeftCell="F59" activePane="bottomRight" state="frozen"/>
      <selection pane="topLeft" activeCell="B13" sqref="B13"/>
      <selection pane="topRight" activeCell="B13" sqref="B13"/>
      <selection pane="bottomLeft" activeCell="B13" sqref="B13"/>
      <selection pane="bottomRight" activeCell="J65" sqref="J65"/>
    </sheetView>
  </sheetViews>
  <sheetFormatPr defaultColWidth="8.796875" defaultRowHeight="15"/>
  <cols>
    <col min="1" max="1" width="3.59765625" style="501" customWidth="1"/>
    <col min="2" max="2" width="7.3984375" style="501" customWidth="1"/>
    <col min="3" max="3" width="10.3984375" style="506" customWidth="1"/>
    <col min="4" max="4" width="11.3984375" style="516" customWidth="1"/>
    <col min="5" max="5" width="12" style="516" customWidth="1"/>
    <col min="6" max="6" width="7.8984375" style="506" customWidth="1"/>
    <col min="7" max="8" width="7.19921875" style="501" customWidth="1"/>
    <col min="9" max="11" width="7.09765625" style="501" customWidth="1"/>
    <col min="12" max="12" width="6.5" style="501" customWidth="1"/>
    <col min="13" max="13" width="6.69921875" style="501" customWidth="1"/>
    <col min="14" max="14" width="7.19921875" style="501" customWidth="1"/>
    <col min="15" max="15" width="7" style="501" customWidth="1"/>
    <col min="16" max="16" width="12" style="501" customWidth="1"/>
    <col min="17" max="17" width="10.5" style="501" customWidth="1"/>
    <col min="18" max="18" width="9.59765625" style="501" customWidth="1"/>
    <col min="19" max="19" width="9.5" style="501" customWidth="1"/>
    <col min="20" max="20" width="9" style="501" bestFit="1" customWidth="1"/>
    <col min="21" max="21" width="8.69921875" style="501" customWidth="1"/>
    <col min="22" max="22" width="10.59765625" style="501" customWidth="1"/>
    <col min="23" max="23" width="10.69921875" style="506" customWidth="1"/>
    <col min="24" max="25" width="8.8984375" style="501" customWidth="1"/>
    <col min="26" max="16384" width="9" style="501" customWidth="1"/>
  </cols>
  <sheetData>
    <row r="1" spans="1:23" ht="24.75" customHeight="1">
      <c r="A1" s="1435" t="s">
        <v>808</v>
      </c>
      <c r="B1" s="1436"/>
      <c r="C1" s="1436"/>
      <c r="D1" s="1436"/>
      <c r="E1" s="1436"/>
      <c r="F1" s="1436"/>
      <c r="G1" s="1436"/>
      <c r="H1" s="1436"/>
      <c r="I1" s="1436"/>
      <c r="J1" s="1436"/>
      <c r="K1" s="1436"/>
      <c r="L1" s="1436"/>
      <c r="M1" s="1436"/>
      <c r="N1" s="1436"/>
      <c r="O1" s="1436"/>
      <c r="P1" s="1436"/>
      <c r="Q1" s="1436"/>
      <c r="R1" s="1436"/>
      <c r="S1" s="1436"/>
      <c r="T1" s="1436"/>
      <c r="U1" s="1436"/>
      <c r="V1" s="1436"/>
      <c r="W1" s="1436"/>
    </row>
    <row r="2" spans="1:23" ht="22.5" customHeight="1">
      <c r="A2" s="1437" t="e">
        <f>+#REF!</f>
        <v>#REF!</v>
      </c>
      <c r="B2" s="1437"/>
      <c r="C2" s="1437"/>
      <c r="D2" s="1437"/>
      <c r="E2" s="1437"/>
      <c r="F2" s="1437"/>
      <c r="G2" s="1437"/>
      <c r="H2" s="1437"/>
      <c r="I2" s="1437"/>
      <c r="J2" s="1437"/>
      <c r="K2" s="1437"/>
      <c r="L2" s="1437"/>
      <c r="M2" s="1437"/>
      <c r="N2" s="1437"/>
      <c r="O2" s="1437"/>
      <c r="P2" s="1437"/>
      <c r="Q2" s="1437"/>
      <c r="R2" s="1437"/>
      <c r="S2" s="1437"/>
      <c r="T2" s="1437"/>
      <c r="U2" s="1437"/>
      <c r="V2" s="1437"/>
      <c r="W2" s="1437"/>
    </row>
    <row r="3" spans="1:23" ht="42" customHeight="1">
      <c r="A3" s="1431" t="s">
        <v>922</v>
      </c>
      <c r="B3" s="1431" t="s">
        <v>0</v>
      </c>
      <c r="C3" s="1431" t="s">
        <v>999</v>
      </c>
      <c r="D3" s="1433" t="s">
        <v>1029</v>
      </c>
      <c r="E3" s="1433"/>
      <c r="F3" s="1431" t="s">
        <v>1030</v>
      </c>
      <c r="G3" s="1431" t="s">
        <v>1031</v>
      </c>
      <c r="H3" s="1431" t="s">
        <v>1032</v>
      </c>
      <c r="I3" s="1431" t="s">
        <v>1033</v>
      </c>
      <c r="J3" s="1431" t="s">
        <v>1034</v>
      </c>
      <c r="K3" s="1431" t="s">
        <v>1035</v>
      </c>
      <c r="L3" s="1431" t="s">
        <v>1036</v>
      </c>
      <c r="M3" s="1431" t="s">
        <v>1037</v>
      </c>
      <c r="N3" s="1432" t="s">
        <v>1</v>
      </c>
      <c r="O3" s="1432" t="s">
        <v>2</v>
      </c>
      <c r="P3" s="1431" t="s">
        <v>3</v>
      </c>
      <c r="Q3" s="1431" t="s">
        <v>4</v>
      </c>
      <c r="R3" s="1432" t="s">
        <v>5</v>
      </c>
      <c r="S3" s="1432"/>
      <c r="T3" s="1432"/>
      <c r="U3" s="1432"/>
      <c r="V3" s="1432" t="s">
        <v>1042</v>
      </c>
      <c r="W3" s="1434" t="s">
        <v>1043</v>
      </c>
    </row>
    <row r="4" spans="1:23" ht="50.25" customHeight="1">
      <c r="A4" s="1431"/>
      <c r="B4" s="1431"/>
      <c r="C4" s="1431"/>
      <c r="D4" s="1433"/>
      <c r="E4" s="1433"/>
      <c r="F4" s="1431"/>
      <c r="G4" s="1431"/>
      <c r="H4" s="1431"/>
      <c r="I4" s="1431"/>
      <c r="J4" s="1431"/>
      <c r="K4" s="1431"/>
      <c r="L4" s="1431"/>
      <c r="M4" s="1431"/>
      <c r="N4" s="1432"/>
      <c r="O4" s="1432"/>
      <c r="P4" s="1431"/>
      <c r="Q4" s="1431"/>
      <c r="R4" s="502" t="s">
        <v>6</v>
      </c>
      <c r="S4" s="502" t="s">
        <v>7</v>
      </c>
      <c r="T4" s="502" t="s">
        <v>8</v>
      </c>
      <c r="U4" s="502" t="s">
        <v>9</v>
      </c>
      <c r="V4" s="1432"/>
      <c r="W4" s="1434"/>
    </row>
    <row r="5" spans="1:23" ht="34.5" customHeight="1">
      <c r="A5" s="503">
        <v>1</v>
      </c>
      <c r="B5" s="502" t="s">
        <v>10</v>
      </c>
      <c r="C5" s="503" t="s">
        <v>240</v>
      </c>
      <c r="D5" s="1430" t="s">
        <v>11</v>
      </c>
      <c r="E5" s="1430"/>
      <c r="F5" s="502" t="s">
        <v>12</v>
      </c>
      <c r="G5" s="504">
        <v>1000</v>
      </c>
      <c r="H5" s="504">
        <f aca="true" t="shared" si="0" ref="H5:H36">+G5*L5/J5</f>
        <v>831.3492063492064</v>
      </c>
      <c r="I5" s="504">
        <v>1008</v>
      </c>
      <c r="J5" s="504">
        <f aca="true" t="shared" si="1" ref="J5:J36">+I5*4</f>
        <v>4032</v>
      </c>
      <c r="K5" s="504">
        <v>838</v>
      </c>
      <c r="L5" s="504">
        <f aca="true" t="shared" si="2" ref="L5:L36">+K5*4</f>
        <v>3352</v>
      </c>
      <c r="M5" s="504">
        <f aca="true" t="shared" si="3" ref="M5:M36">+K5</f>
        <v>838</v>
      </c>
      <c r="N5" s="504">
        <f aca="true" t="shared" si="4" ref="N5:N36">45*0.001*30*J5</f>
        <v>5443.2</v>
      </c>
      <c r="O5" s="504">
        <f aca="true" t="shared" si="5" ref="O5:O36">45*0.001*30*L5</f>
        <v>4525.2</v>
      </c>
      <c r="P5" s="504">
        <v>6300</v>
      </c>
      <c r="Q5" s="504">
        <f aca="true" t="shared" si="6" ref="Q5:Q38">+P5*O5</f>
        <v>28508760</v>
      </c>
      <c r="R5" s="504">
        <v>15000000</v>
      </c>
      <c r="S5" s="504">
        <v>8000000</v>
      </c>
      <c r="T5" s="504">
        <v>700000</v>
      </c>
      <c r="U5" s="504">
        <v>1000000</v>
      </c>
      <c r="V5" s="504">
        <f aca="true" t="shared" si="7" ref="V5:V36">+SUM(R5:U5)</f>
        <v>24700000</v>
      </c>
      <c r="W5" s="504" t="s">
        <v>13</v>
      </c>
    </row>
    <row r="6" spans="1:23" ht="34.5" customHeight="1">
      <c r="A6" s="503">
        <v>2</v>
      </c>
      <c r="B6" s="502" t="s">
        <v>10</v>
      </c>
      <c r="C6" s="503" t="s">
        <v>1056</v>
      </c>
      <c r="D6" s="1430" t="s">
        <v>1057</v>
      </c>
      <c r="E6" s="1430"/>
      <c r="F6" s="502" t="s">
        <v>14</v>
      </c>
      <c r="G6" s="504">
        <v>380</v>
      </c>
      <c r="H6" s="504">
        <f t="shared" si="0"/>
        <v>251.75</v>
      </c>
      <c r="I6" s="504">
        <v>800</v>
      </c>
      <c r="J6" s="504">
        <f t="shared" si="1"/>
        <v>3200</v>
      </c>
      <c r="K6" s="504">
        <v>530</v>
      </c>
      <c r="L6" s="504">
        <f t="shared" si="2"/>
        <v>2120</v>
      </c>
      <c r="M6" s="504">
        <f t="shared" si="3"/>
        <v>530</v>
      </c>
      <c r="N6" s="504">
        <f t="shared" si="4"/>
        <v>4320</v>
      </c>
      <c r="O6" s="504">
        <f t="shared" si="5"/>
        <v>2861.9999999999995</v>
      </c>
      <c r="P6" s="504">
        <v>4580</v>
      </c>
      <c r="Q6" s="504">
        <f t="shared" si="6"/>
        <v>13107959.999999998</v>
      </c>
      <c r="R6" s="504">
        <v>8000000</v>
      </c>
      <c r="S6" s="504">
        <v>2700000</v>
      </c>
      <c r="T6" s="504">
        <v>1000000</v>
      </c>
      <c r="U6" s="504">
        <v>1000000</v>
      </c>
      <c r="V6" s="504">
        <f t="shared" si="7"/>
        <v>12700000</v>
      </c>
      <c r="W6" s="504" t="s">
        <v>1052</v>
      </c>
    </row>
    <row r="7" spans="1:23" ht="34.5" customHeight="1">
      <c r="A7" s="503">
        <v>3</v>
      </c>
      <c r="B7" s="502" t="s">
        <v>10</v>
      </c>
      <c r="C7" s="503" t="s">
        <v>240</v>
      </c>
      <c r="D7" s="1430" t="s">
        <v>15</v>
      </c>
      <c r="E7" s="1430"/>
      <c r="F7" s="502" t="s">
        <v>12</v>
      </c>
      <c r="G7" s="504">
        <v>1400</v>
      </c>
      <c r="H7" s="504">
        <f t="shared" si="0"/>
        <v>382.45454545454544</v>
      </c>
      <c r="I7" s="504">
        <v>2200</v>
      </c>
      <c r="J7" s="504">
        <f t="shared" si="1"/>
        <v>8800</v>
      </c>
      <c r="K7" s="504">
        <v>601</v>
      </c>
      <c r="L7" s="504">
        <f t="shared" si="2"/>
        <v>2404</v>
      </c>
      <c r="M7" s="504">
        <f t="shared" si="3"/>
        <v>601</v>
      </c>
      <c r="N7" s="504">
        <f t="shared" si="4"/>
        <v>11879.999999999998</v>
      </c>
      <c r="O7" s="504">
        <f t="shared" si="5"/>
        <v>3245.3999999999996</v>
      </c>
      <c r="P7" s="504">
        <v>6300</v>
      </c>
      <c r="Q7" s="504">
        <f t="shared" si="6"/>
        <v>20446019.999999996</v>
      </c>
      <c r="R7" s="504">
        <f aca="true" t="shared" si="8" ref="R7:R38">+Q7*0.65</f>
        <v>13289912.999999998</v>
      </c>
      <c r="S7" s="504">
        <f aca="true" t="shared" si="9" ref="S7:S38">+Q7*0.25</f>
        <v>5111504.999999999</v>
      </c>
      <c r="T7" s="504">
        <f>+Q7*0.05</f>
        <v>1022300.9999999999</v>
      </c>
      <c r="U7" s="504">
        <f>+Q7-SUM(R7:T7)</f>
        <v>1022301</v>
      </c>
      <c r="V7" s="504">
        <f t="shared" si="7"/>
        <v>20446019.999999996</v>
      </c>
      <c r="W7" s="504" t="s">
        <v>13</v>
      </c>
    </row>
    <row r="8" spans="1:23" ht="34.5" customHeight="1">
      <c r="A8" s="503">
        <v>4</v>
      </c>
      <c r="B8" s="502" t="s">
        <v>10</v>
      </c>
      <c r="C8" s="503" t="s">
        <v>240</v>
      </c>
      <c r="D8" s="1430" t="s">
        <v>16</v>
      </c>
      <c r="E8" s="1430"/>
      <c r="F8" s="502" t="s">
        <v>12</v>
      </c>
      <c r="G8" s="504">
        <v>1000</v>
      </c>
      <c r="H8" s="504">
        <f t="shared" si="0"/>
        <v>357.5</v>
      </c>
      <c r="I8" s="504">
        <v>1200</v>
      </c>
      <c r="J8" s="504">
        <f>+I8*4</f>
        <v>4800</v>
      </c>
      <c r="K8" s="504">
        <v>429</v>
      </c>
      <c r="L8" s="504">
        <f t="shared" si="2"/>
        <v>1716</v>
      </c>
      <c r="M8" s="504">
        <f t="shared" si="3"/>
        <v>429</v>
      </c>
      <c r="N8" s="504">
        <f t="shared" si="4"/>
        <v>6479.999999999999</v>
      </c>
      <c r="O8" s="504">
        <f t="shared" si="5"/>
        <v>2316.6</v>
      </c>
      <c r="P8" s="504">
        <v>6300</v>
      </c>
      <c r="Q8" s="504">
        <f t="shared" si="6"/>
        <v>14594580</v>
      </c>
      <c r="R8" s="504">
        <f t="shared" si="8"/>
        <v>9486477</v>
      </c>
      <c r="S8" s="504">
        <f t="shared" si="9"/>
        <v>3648645</v>
      </c>
      <c r="T8" s="504">
        <f>+Q8*0.05</f>
        <v>729729</v>
      </c>
      <c r="U8" s="504">
        <f>+Q8-SUM(R8:T8)</f>
        <v>729729</v>
      </c>
      <c r="V8" s="504">
        <f t="shared" si="7"/>
        <v>14594580</v>
      </c>
      <c r="W8" s="504" t="s">
        <v>13</v>
      </c>
    </row>
    <row r="9" spans="1:23" ht="34.5" customHeight="1">
      <c r="A9" s="503">
        <v>5</v>
      </c>
      <c r="B9" s="502" t="s">
        <v>17</v>
      </c>
      <c r="C9" s="503" t="s">
        <v>268</v>
      </c>
      <c r="D9" s="1430" t="s">
        <v>18</v>
      </c>
      <c r="E9" s="1430"/>
      <c r="F9" s="502" t="s">
        <v>12</v>
      </c>
      <c r="G9" s="504">
        <v>524</v>
      </c>
      <c r="H9" s="504">
        <f t="shared" si="0"/>
        <v>604.6153846153846</v>
      </c>
      <c r="I9" s="504">
        <v>1300</v>
      </c>
      <c r="J9" s="504">
        <f>+I9*4</f>
        <v>5200</v>
      </c>
      <c r="K9" s="504">
        <v>1500</v>
      </c>
      <c r="L9" s="504">
        <f t="shared" si="2"/>
        <v>6000</v>
      </c>
      <c r="M9" s="504">
        <f t="shared" si="3"/>
        <v>1500</v>
      </c>
      <c r="N9" s="504">
        <f t="shared" si="4"/>
        <v>7019.999999999999</v>
      </c>
      <c r="O9" s="504">
        <f t="shared" si="5"/>
        <v>8099.999999999999</v>
      </c>
      <c r="P9" s="504">
        <v>6390</v>
      </c>
      <c r="Q9" s="504">
        <f t="shared" si="6"/>
        <v>51758999.99999999</v>
      </c>
      <c r="R9" s="504">
        <f t="shared" si="8"/>
        <v>33643350</v>
      </c>
      <c r="S9" s="504">
        <f t="shared" si="9"/>
        <v>12939749.999999998</v>
      </c>
      <c r="T9" s="504">
        <v>2000000</v>
      </c>
      <c r="U9" s="504">
        <v>1000000</v>
      </c>
      <c r="V9" s="504">
        <f t="shared" si="7"/>
        <v>49583100</v>
      </c>
      <c r="W9" s="504" t="s">
        <v>13</v>
      </c>
    </row>
    <row r="10" spans="1:23" ht="34.5" customHeight="1">
      <c r="A10" s="503">
        <v>6</v>
      </c>
      <c r="B10" s="502" t="s">
        <v>17</v>
      </c>
      <c r="C10" s="503" t="s">
        <v>19</v>
      </c>
      <c r="D10" s="1430" t="s">
        <v>20</v>
      </c>
      <c r="E10" s="1430"/>
      <c r="F10" s="502" t="s">
        <v>12</v>
      </c>
      <c r="G10" s="504">
        <v>325</v>
      </c>
      <c r="H10" s="504">
        <f t="shared" si="0"/>
        <v>69.19354838709677</v>
      </c>
      <c r="I10" s="504">
        <v>620</v>
      </c>
      <c r="J10" s="504">
        <f>+I10*4</f>
        <v>2480</v>
      </c>
      <c r="K10" s="504">
        <v>132</v>
      </c>
      <c r="L10" s="504">
        <f t="shared" si="2"/>
        <v>528</v>
      </c>
      <c r="M10" s="504">
        <f t="shared" si="3"/>
        <v>132</v>
      </c>
      <c r="N10" s="504">
        <f t="shared" si="4"/>
        <v>3347.9999999999995</v>
      </c>
      <c r="O10" s="504">
        <f t="shared" si="5"/>
        <v>712.8</v>
      </c>
      <c r="P10" s="504">
        <v>5500</v>
      </c>
      <c r="Q10" s="504">
        <f t="shared" si="6"/>
        <v>3920399.9999999995</v>
      </c>
      <c r="R10" s="504">
        <f t="shared" si="8"/>
        <v>2548260</v>
      </c>
      <c r="S10" s="504">
        <f t="shared" si="9"/>
        <v>980099.9999999999</v>
      </c>
      <c r="T10" s="504">
        <f aca="true" t="shared" si="10" ref="T10:T21">+Q10*0.05</f>
        <v>196020</v>
      </c>
      <c r="U10" s="504">
        <f aca="true" t="shared" si="11" ref="U10:U41">+Q10-SUM(R10:T10)</f>
        <v>196019.99999999953</v>
      </c>
      <c r="V10" s="504">
        <f t="shared" si="7"/>
        <v>3920399.9999999995</v>
      </c>
      <c r="W10" s="504" t="s">
        <v>1055</v>
      </c>
    </row>
    <row r="11" spans="1:23" ht="34.5" customHeight="1">
      <c r="A11" s="503">
        <v>7</v>
      </c>
      <c r="B11" s="502" t="s">
        <v>17</v>
      </c>
      <c r="C11" s="503" t="s">
        <v>1065</v>
      </c>
      <c r="D11" s="1430" t="s">
        <v>21</v>
      </c>
      <c r="E11" s="1430"/>
      <c r="F11" s="502" t="s">
        <v>22</v>
      </c>
      <c r="G11" s="504">
        <v>26</v>
      </c>
      <c r="H11" s="504">
        <f t="shared" si="0"/>
        <v>11.555555555555555</v>
      </c>
      <c r="I11" s="504">
        <v>81</v>
      </c>
      <c r="J11" s="504">
        <f t="shared" si="1"/>
        <v>324</v>
      </c>
      <c r="K11" s="504">
        <v>36</v>
      </c>
      <c r="L11" s="504">
        <f t="shared" si="2"/>
        <v>144</v>
      </c>
      <c r="M11" s="504">
        <f t="shared" si="3"/>
        <v>36</v>
      </c>
      <c r="N11" s="504">
        <f t="shared" si="4"/>
        <v>437.4</v>
      </c>
      <c r="O11" s="504">
        <f t="shared" si="5"/>
        <v>194.39999999999998</v>
      </c>
      <c r="P11" s="504">
        <v>11500</v>
      </c>
      <c r="Q11" s="504">
        <f t="shared" si="6"/>
        <v>2235599.9999999995</v>
      </c>
      <c r="R11" s="504">
        <f t="shared" si="8"/>
        <v>1453139.9999999998</v>
      </c>
      <c r="S11" s="504">
        <f t="shared" si="9"/>
        <v>558899.9999999999</v>
      </c>
      <c r="T11" s="504">
        <f t="shared" si="10"/>
        <v>111779.99999999999</v>
      </c>
      <c r="U11" s="504">
        <f t="shared" si="11"/>
        <v>111780</v>
      </c>
      <c r="V11" s="504">
        <f t="shared" si="7"/>
        <v>2235599.9999999995</v>
      </c>
      <c r="W11" s="504" t="s">
        <v>1061</v>
      </c>
    </row>
    <row r="12" spans="1:23" ht="34.5" customHeight="1">
      <c r="A12" s="503">
        <v>8</v>
      </c>
      <c r="B12" s="502" t="s">
        <v>17</v>
      </c>
      <c r="C12" s="503" t="s">
        <v>23</v>
      </c>
      <c r="D12" s="1430" t="s">
        <v>24</v>
      </c>
      <c r="E12" s="1430"/>
      <c r="F12" s="502" t="s">
        <v>12</v>
      </c>
      <c r="G12" s="504">
        <v>270</v>
      </c>
      <c r="H12" s="504">
        <f t="shared" si="0"/>
        <v>42</v>
      </c>
      <c r="I12" s="504">
        <v>450</v>
      </c>
      <c r="J12" s="504">
        <f t="shared" si="1"/>
        <v>1800</v>
      </c>
      <c r="K12" s="504">
        <v>70</v>
      </c>
      <c r="L12" s="504">
        <f t="shared" si="2"/>
        <v>280</v>
      </c>
      <c r="M12" s="504">
        <f t="shared" si="3"/>
        <v>70</v>
      </c>
      <c r="N12" s="504">
        <f t="shared" si="4"/>
        <v>2429.9999999999995</v>
      </c>
      <c r="O12" s="504">
        <f t="shared" si="5"/>
        <v>377.99999999999994</v>
      </c>
      <c r="P12" s="504">
        <v>4000</v>
      </c>
      <c r="Q12" s="504">
        <f t="shared" si="6"/>
        <v>1511999.9999999998</v>
      </c>
      <c r="R12" s="504">
        <f t="shared" si="8"/>
        <v>982799.9999999999</v>
      </c>
      <c r="S12" s="504">
        <f t="shared" si="9"/>
        <v>377999.99999999994</v>
      </c>
      <c r="T12" s="504">
        <f t="shared" si="10"/>
        <v>75599.99999999999</v>
      </c>
      <c r="U12" s="504">
        <f t="shared" si="11"/>
        <v>75600</v>
      </c>
      <c r="V12" s="504">
        <f t="shared" si="7"/>
        <v>1511999.9999999998</v>
      </c>
      <c r="W12" s="504" t="s">
        <v>13</v>
      </c>
    </row>
    <row r="13" spans="1:23" ht="34.5" customHeight="1">
      <c r="A13" s="503">
        <v>9</v>
      </c>
      <c r="B13" s="502" t="s">
        <v>25</v>
      </c>
      <c r="C13" s="503" t="s">
        <v>1077</v>
      </c>
      <c r="D13" s="1430" t="s">
        <v>1078</v>
      </c>
      <c r="E13" s="1430"/>
      <c r="F13" s="502" t="s">
        <v>14</v>
      </c>
      <c r="G13" s="504">
        <v>150</v>
      </c>
      <c r="H13" s="504">
        <f t="shared" si="0"/>
        <v>77.14285714285714</v>
      </c>
      <c r="I13" s="504">
        <v>350</v>
      </c>
      <c r="J13" s="504">
        <f t="shared" si="1"/>
        <v>1400</v>
      </c>
      <c r="K13" s="504">
        <v>180</v>
      </c>
      <c r="L13" s="504">
        <f t="shared" si="2"/>
        <v>720</v>
      </c>
      <c r="M13" s="504">
        <f t="shared" si="3"/>
        <v>180</v>
      </c>
      <c r="N13" s="504">
        <f t="shared" si="4"/>
        <v>1889.9999999999998</v>
      </c>
      <c r="O13" s="504">
        <f t="shared" si="5"/>
        <v>971.9999999999999</v>
      </c>
      <c r="P13" s="504">
        <v>4000</v>
      </c>
      <c r="Q13" s="504">
        <f t="shared" si="6"/>
        <v>3887999.9999999995</v>
      </c>
      <c r="R13" s="504">
        <f t="shared" si="8"/>
        <v>2527200</v>
      </c>
      <c r="S13" s="504">
        <f t="shared" si="9"/>
        <v>971999.9999999999</v>
      </c>
      <c r="T13" s="504">
        <f t="shared" si="10"/>
        <v>194400</v>
      </c>
      <c r="U13" s="504">
        <f t="shared" si="11"/>
        <v>194399.99999999953</v>
      </c>
      <c r="V13" s="504">
        <f t="shared" si="7"/>
        <v>3887999.9999999995</v>
      </c>
      <c r="W13" s="504" t="s">
        <v>1055</v>
      </c>
    </row>
    <row r="14" spans="1:23" ht="34.5" customHeight="1">
      <c r="A14" s="503">
        <v>10</v>
      </c>
      <c r="B14" s="502" t="s">
        <v>25</v>
      </c>
      <c r="C14" s="503" t="s">
        <v>1079</v>
      </c>
      <c r="D14" s="1430" t="s">
        <v>1080</v>
      </c>
      <c r="E14" s="1430"/>
      <c r="F14" s="502" t="s">
        <v>14</v>
      </c>
      <c r="G14" s="504">
        <v>300</v>
      </c>
      <c r="H14" s="504">
        <f t="shared" si="0"/>
        <v>200</v>
      </c>
      <c r="I14" s="504">
        <v>600</v>
      </c>
      <c r="J14" s="504">
        <f t="shared" si="1"/>
        <v>2400</v>
      </c>
      <c r="K14" s="504">
        <v>400</v>
      </c>
      <c r="L14" s="504">
        <f t="shared" si="2"/>
        <v>1600</v>
      </c>
      <c r="M14" s="504">
        <f t="shared" si="3"/>
        <v>400</v>
      </c>
      <c r="N14" s="504">
        <f t="shared" si="4"/>
        <v>3239.9999999999995</v>
      </c>
      <c r="O14" s="504">
        <f t="shared" si="5"/>
        <v>2160</v>
      </c>
      <c r="P14" s="504">
        <v>3000</v>
      </c>
      <c r="Q14" s="504">
        <f t="shared" si="6"/>
        <v>6480000</v>
      </c>
      <c r="R14" s="504">
        <f t="shared" si="8"/>
        <v>4212000</v>
      </c>
      <c r="S14" s="504">
        <f t="shared" si="9"/>
        <v>1620000</v>
      </c>
      <c r="T14" s="504">
        <f t="shared" si="10"/>
        <v>324000</v>
      </c>
      <c r="U14" s="504">
        <f t="shared" si="11"/>
        <v>324000</v>
      </c>
      <c r="V14" s="504">
        <f t="shared" si="7"/>
        <v>6480000</v>
      </c>
      <c r="W14" s="504" t="s">
        <v>26</v>
      </c>
    </row>
    <row r="15" spans="1:23" ht="34.5" customHeight="1">
      <c r="A15" s="503">
        <v>11</v>
      </c>
      <c r="B15" s="502" t="s">
        <v>25</v>
      </c>
      <c r="C15" s="503" t="s">
        <v>1082</v>
      </c>
      <c r="D15" s="1430" t="s">
        <v>1083</v>
      </c>
      <c r="E15" s="1430"/>
      <c r="F15" s="502" t="s">
        <v>14</v>
      </c>
      <c r="G15" s="504">
        <v>264</v>
      </c>
      <c r="H15" s="504">
        <f t="shared" si="0"/>
        <v>115.36134453781513</v>
      </c>
      <c r="I15" s="504">
        <v>595</v>
      </c>
      <c r="J15" s="504">
        <f t="shared" si="1"/>
        <v>2380</v>
      </c>
      <c r="K15" s="504">
        <v>260</v>
      </c>
      <c r="L15" s="504">
        <f t="shared" si="2"/>
        <v>1040</v>
      </c>
      <c r="M15" s="504">
        <f t="shared" si="3"/>
        <v>260</v>
      </c>
      <c r="N15" s="504">
        <f t="shared" si="4"/>
        <v>3212.9999999999995</v>
      </c>
      <c r="O15" s="504">
        <f t="shared" si="5"/>
        <v>1403.9999999999998</v>
      </c>
      <c r="P15" s="504">
        <v>4500</v>
      </c>
      <c r="Q15" s="504">
        <f t="shared" si="6"/>
        <v>6317999.999999999</v>
      </c>
      <c r="R15" s="504">
        <f t="shared" si="8"/>
        <v>4106699.9999999995</v>
      </c>
      <c r="S15" s="504">
        <f t="shared" si="9"/>
        <v>1579499.9999999998</v>
      </c>
      <c r="T15" s="504">
        <f t="shared" si="10"/>
        <v>315900</v>
      </c>
      <c r="U15" s="504">
        <f t="shared" si="11"/>
        <v>315900</v>
      </c>
      <c r="V15" s="504">
        <f t="shared" si="7"/>
        <v>6317999.999999999</v>
      </c>
      <c r="W15" s="504" t="s">
        <v>1064</v>
      </c>
    </row>
    <row r="16" spans="1:23" ht="34.5" customHeight="1">
      <c r="A16" s="503">
        <v>12</v>
      </c>
      <c r="B16" s="502" t="s">
        <v>25</v>
      </c>
      <c r="C16" s="503" t="s">
        <v>27</v>
      </c>
      <c r="D16" s="1430" t="s">
        <v>28</v>
      </c>
      <c r="E16" s="1430"/>
      <c r="F16" s="502" t="s">
        <v>29</v>
      </c>
      <c r="G16" s="504">
        <v>210</v>
      </c>
      <c r="H16" s="504">
        <f t="shared" si="0"/>
        <v>108.26666666666667</v>
      </c>
      <c r="I16" s="504">
        <v>450</v>
      </c>
      <c r="J16" s="504">
        <f t="shared" si="1"/>
        <v>1800</v>
      </c>
      <c r="K16" s="504">
        <v>232</v>
      </c>
      <c r="L16" s="504">
        <f t="shared" si="2"/>
        <v>928</v>
      </c>
      <c r="M16" s="504">
        <f t="shared" si="3"/>
        <v>232</v>
      </c>
      <c r="N16" s="504">
        <f t="shared" si="4"/>
        <v>2429.9999999999995</v>
      </c>
      <c r="O16" s="504">
        <f t="shared" si="5"/>
        <v>1252.8</v>
      </c>
      <c r="P16" s="504">
        <v>7000</v>
      </c>
      <c r="Q16" s="504">
        <f t="shared" si="6"/>
        <v>8769600</v>
      </c>
      <c r="R16" s="504">
        <f t="shared" si="8"/>
        <v>5700240</v>
      </c>
      <c r="S16" s="504">
        <f t="shared" si="9"/>
        <v>2192400</v>
      </c>
      <c r="T16" s="504">
        <f t="shared" si="10"/>
        <v>438480</v>
      </c>
      <c r="U16" s="504">
        <f t="shared" si="11"/>
        <v>438480</v>
      </c>
      <c r="V16" s="504">
        <f t="shared" si="7"/>
        <v>8769600</v>
      </c>
      <c r="W16" s="504" t="s">
        <v>1055</v>
      </c>
    </row>
    <row r="17" spans="1:23" ht="34.5" customHeight="1">
      <c r="A17" s="503">
        <v>13</v>
      </c>
      <c r="B17" s="502" t="s">
        <v>25</v>
      </c>
      <c r="C17" s="503" t="s">
        <v>30</v>
      </c>
      <c r="D17" s="1430" t="s">
        <v>31</v>
      </c>
      <c r="E17" s="1430"/>
      <c r="F17" s="508" t="s">
        <v>32</v>
      </c>
      <c r="G17" s="504">
        <v>700</v>
      </c>
      <c r="H17" s="504">
        <f t="shared" si="0"/>
        <v>129.957805907173</v>
      </c>
      <c r="I17" s="504">
        <v>1185</v>
      </c>
      <c r="J17" s="504">
        <f t="shared" si="1"/>
        <v>4740</v>
      </c>
      <c r="K17" s="504">
        <v>220</v>
      </c>
      <c r="L17" s="504">
        <f t="shared" si="2"/>
        <v>880</v>
      </c>
      <c r="M17" s="504">
        <f t="shared" si="3"/>
        <v>220</v>
      </c>
      <c r="N17" s="504">
        <f t="shared" si="4"/>
        <v>6398.999999999999</v>
      </c>
      <c r="O17" s="504">
        <f t="shared" si="5"/>
        <v>1187.9999999999998</v>
      </c>
      <c r="P17" s="504">
        <v>4000</v>
      </c>
      <c r="Q17" s="504">
        <f t="shared" si="6"/>
        <v>4751999.999999999</v>
      </c>
      <c r="R17" s="504">
        <f t="shared" si="8"/>
        <v>3088799.9999999995</v>
      </c>
      <c r="S17" s="504">
        <f t="shared" si="9"/>
        <v>1187999.9999999998</v>
      </c>
      <c r="T17" s="504">
        <f t="shared" si="10"/>
        <v>237599.99999999997</v>
      </c>
      <c r="U17" s="504">
        <f t="shared" si="11"/>
        <v>237600</v>
      </c>
      <c r="V17" s="504">
        <f t="shared" si="7"/>
        <v>4751999.999999999</v>
      </c>
      <c r="W17" s="504" t="s">
        <v>33</v>
      </c>
    </row>
    <row r="18" spans="1:23" ht="34.5" customHeight="1">
      <c r="A18" s="503">
        <v>14</v>
      </c>
      <c r="B18" s="502" t="s">
        <v>25</v>
      </c>
      <c r="C18" s="503" t="s">
        <v>34</v>
      </c>
      <c r="D18" s="1430" t="s">
        <v>35</v>
      </c>
      <c r="E18" s="1430"/>
      <c r="F18" s="508" t="s">
        <v>32</v>
      </c>
      <c r="G18" s="504">
        <v>2000</v>
      </c>
      <c r="H18" s="504">
        <f t="shared" si="0"/>
        <v>636</v>
      </c>
      <c r="I18" s="504">
        <v>2000</v>
      </c>
      <c r="J18" s="504">
        <f t="shared" si="1"/>
        <v>8000</v>
      </c>
      <c r="K18" s="504">
        <v>636</v>
      </c>
      <c r="L18" s="504">
        <f t="shared" si="2"/>
        <v>2544</v>
      </c>
      <c r="M18" s="504">
        <f t="shared" si="3"/>
        <v>636</v>
      </c>
      <c r="N18" s="504">
        <f t="shared" si="4"/>
        <v>10799.999999999998</v>
      </c>
      <c r="O18" s="504">
        <f t="shared" si="5"/>
        <v>3434.3999999999996</v>
      </c>
      <c r="P18" s="504">
        <v>5000</v>
      </c>
      <c r="Q18" s="504">
        <f t="shared" si="6"/>
        <v>17172000</v>
      </c>
      <c r="R18" s="504">
        <f t="shared" si="8"/>
        <v>11161800</v>
      </c>
      <c r="S18" s="504">
        <f t="shared" si="9"/>
        <v>4293000</v>
      </c>
      <c r="T18" s="504">
        <f t="shared" si="10"/>
        <v>858600</v>
      </c>
      <c r="U18" s="504">
        <f t="shared" si="11"/>
        <v>858600</v>
      </c>
      <c r="V18" s="504">
        <f t="shared" si="7"/>
        <v>17172000</v>
      </c>
      <c r="W18" s="504" t="s">
        <v>36</v>
      </c>
    </row>
    <row r="19" spans="1:23" ht="34.5" customHeight="1">
      <c r="A19" s="503">
        <v>15</v>
      </c>
      <c r="B19" s="502" t="s">
        <v>25</v>
      </c>
      <c r="C19" s="503" t="s">
        <v>1084</v>
      </c>
      <c r="D19" s="1430" t="s">
        <v>1085</v>
      </c>
      <c r="E19" s="1430"/>
      <c r="F19" s="502" t="s">
        <v>14</v>
      </c>
      <c r="G19" s="504">
        <v>220</v>
      </c>
      <c r="H19" s="504">
        <f t="shared" si="0"/>
        <v>180.25210084033614</v>
      </c>
      <c r="I19" s="504">
        <v>476</v>
      </c>
      <c r="J19" s="504">
        <f t="shared" si="1"/>
        <v>1904</v>
      </c>
      <c r="K19" s="504">
        <v>390</v>
      </c>
      <c r="L19" s="504">
        <f t="shared" si="2"/>
        <v>1560</v>
      </c>
      <c r="M19" s="504">
        <f t="shared" si="3"/>
        <v>390</v>
      </c>
      <c r="N19" s="504">
        <f t="shared" si="4"/>
        <v>2570.3999999999996</v>
      </c>
      <c r="O19" s="504">
        <f t="shared" si="5"/>
        <v>2106</v>
      </c>
      <c r="P19" s="504">
        <v>4000</v>
      </c>
      <c r="Q19" s="504">
        <f t="shared" si="6"/>
        <v>8424000</v>
      </c>
      <c r="R19" s="504">
        <f t="shared" si="8"/>
        <v>5475600</v>
      </c>
      <c r="S19" s="504">
        <f t="shared" si="9"/>
        <v>2106000</v>
      </c>
      <c r="T19" s="504">
        <f t="shared" si="10"/>
        <v>421200</v>
      </c>
      <c r="U19" s="504">
        <f t="shared" si="11"/>
        <v>421200</v>
      </c>
      <c r="V19" s="504">
        <f t="shared" si="7"/>
        <v>8424000</v>
      </c>
      <c r="W19" s="504" t="s">
        <v>1055</v>
      </c>
    </row>
    <row r="20" spans="1:23" ht="34.5" customHeight="1">
      <c r="A20" s="503">
        <v>16</v>
      </c>
      <c r="B20" s="502" t="s">
        <v>25</v>
      </c>
      <c r="C20" s="503" t="s">
        <v>1086</v>
      </c>
      <c r="D20" s="1430" t="s">
        <v>1087</v>
      </c>
      <c r="E20" s="1430"/>
      <c r="F20" s="502" t="s">
        <v>14</v>
      </c>
      <c r="G20" s="504">
        <v>230</v>
      </c>
      <c r="H20" s="504">
        <f t="shared" si="0"/>
        <v>108.39712918660287</v>
      </c>
      <c r="I20" s="504">
        <v>418</v>
      </c>
      <c r="J20" s="504">
        <f t="shared" si="1"/>
        <v>1672</v>
      </c>
      <c r="K20" s="504">
        <v>197</v>
      </c>
      <c r="L20" s="504">
        <f t="shared" si="2"/>
        <v>788</v>
      </c>
      <c r="M20" s="504">
        <f t="shared" si="3"/>
        <v>197</v>
      </c>
      <c r="N20" s="504">
        <f t="shared" si="4"/>
        <v>2257.2</v>
      </c>
      <c r="O20" s="504">
        <f t="shared" si="5"/>
        <v>1063.8</v>
      </c>
      <c r="P20" s="504">
        <v>4000</v>
      </c>
      <c r="Q20" s="504">
        <f t="shared" si="6"/>
        <v>4255200</v>
      </c>
      <c r="R20" s="504">
        <f t="shared" si="8"/>
        <v>2765880</v>
      </c>
      <c r="S20" s="504">
        <f t="shared" si="9"/>
        <v>1063800</v>
      </c>
      <c r="T20" s="504">
        <f t="shared" si="10"/>
        <v>212760</v>
      </c>
      <c r="U20" s="504">
        <f t="shared" si="11"/>
        <v>212760</v>
      </c>
      <c r="V20" s="504">
        <f t="shared" si="7"/>
        <v>4255200</v>
      </c>
      <c r="W20" s="504" t="s">
        <v>1055</v>
      </c>
    </row>
    <row r="21" spans="1:23" ht="34.5" customHeight="1">
      <c r="A21" s="503">
        <v>17</v>
      </c>
      <c r="B21" s="502" t="s">
        <v>25</v>
      </c>
      <c r="C21" s="503" t="s">
        <v>1088</v>
      </c>
      <c r="D21" s="1430" t="s">
        <v>37</v>
      </c>
      <c r="E21" s="1430"/>
      <c r="F21" s="502" t="s">
        <v>14</v>
      </c>
      <c r="G21" s="504">
        <v>108</v>
      </c>
      <c r="H21" s="504">
        <f t="shared" si="0"/>
        <v>66.12244897959184</v>
      </c>
      <c r="I21" s="504">
        <v>245</v>
      </c>
      <c r="J21" s="504">
        <f t="shared" si="1"/>
        <v>980</v>
      </c>
      <c r="K21" s="504">
        <v>150</v>
      </c>
      <c r="L21" s="504">
        <f t="shared" si="2"/>
        <v>600</v>
      </c>
      <c r="M21" s="504">
        <f t="shared" si="3"/>
        <v>150</v>
      </c>
      <c r="N21" s="504">
        <f t="shared" si="4"/>
        <v>1322.9999999999998</v>
      </c>
      <c r="O21" s="504">
        <f t="shared" si="5"/>
        <v>809.9999999999999</v>
      </c>
      <c r="P21" s="504">
        <v>3000</v>
      </c>
      <c r="Q21" s="504">
        <f t="shared" si="6"/>
        <v>2429999.9999999995</v>
      </c>
      <c r="R21" s="504">
        <f t="shared" si="8"/>
        <v>1579499.9999999998</v>
      </c>
      <c r="S21" s="504">
        <f t="shared" si="9"/>
        <v>607499.9999999999</v>
      </c>
      <c r="T21" s="504">
        <f t="shared" si="10"/>
        <v>121499.99999999999</v>
      </c>
      <c r="U21" s="504">
        <f t="shared" si="11"/>
        <v>121500</v>
      </c>
      <c r="V21" s="504">
        <f t="shared" si="7"/>
        <v>2429999.9999999995</v>
      </c>
      <c r="W21" s="504" t="s">
        <v>1064</v>
      </c>
    </row>
    <row r="22" spans="1:23" ht="34.5" customHeight="1">
      <c r="A22" s="503">
        <v>18</v>
      </c>
      <c r="B22" s="502" t="s">
        <v>38</v>
      </c>
      <c r="C22" s="503" t="s">
        <v>1093</v>
      </c>
      <c r="D22" s="1430" t="s">
        <v>1094</v>
      </c>
      <c r="E22" s="1430"/>
      <c r="F22" s="502" t="s">
        <v>14</v>
      </c>
      <c r="G22" s="504">
        <v>450</v>
      </c>
      <c r="H22" s="504">
        <f t="shared" si="0"/>
        <v>295.7142857142857</v>
      </c>
      <c r="I22" s="504">
        <v>700</v>
      </c>
      <c r="J22" s="504">
        <f t="shared" si="1"/>
        <v>2800</v>
      </c>
      <c r="K22" s="504">
        <v>460</v>
      </c>
      <c r="L22" s="504">
        <f t="shared" si="2"/>
        <v>1840</v>
      </c>
      <c r="M22" s="504">
        <f t="shared" si="3"/>
        <v>460</v>
      </c>
      <c r="N22" s="504">
        <f t="shared" si="4"/>
        <v>3779.9999999999995</v>
      </c>
      <c r="O22" s="504">
        <f t="shared" si="5"/>
        <v>2483.9999999999995</v>
      </c>
      <c r="P22" s="504">
        <v>4500</v>
      </c>
      <c r="Q22" s="504">
        <f t="shared" si="6"/>
        <v>11177999.999999998</v>
      </c>
      <c r="R22" s="504">
        <f t="shared" si="8"/>
        <v>7265699.999999999</v>
      </c>
      <c r="S22" s="504">
        <f t="shared" si="9"/>
        <v>2794499.9999999995</v>
      </c>
      <c r="T22" s="504"/>
      <c r="U22" s="504">
        <f t="shared" si="11"/>
        <v>1117800</v>
      </c>
      <c r="V22" s="504">
        <f t="shared" si="7"/>
        <v>11177999.999999998</v>
      </c>
      <c r="W22" s="504" t="s">
        <v>1064</v>
      </c>
    </row>
    <row r="23" spans="1:23" ht="34.5" customHeight="1">
      <c r="A23" s="503">
        <v>19</v>
      </c>
      <c r="B23" s="502" t="s">
        <v>38</v>
      </c>
      <c r="C23" s="503" t="s">
        <v>1095</v>
      </c>
      <c r="D23" s="1430" t="s">
        <v>1096</v>
      </c>
      <c r="E23" s="1430"/>
      <c r="F23" s="502" t="s">
        <v>14</v>
      </c>
      <c r="G23" s="504">
        <v>262</v>
      </c>
      <c r="H23" s="504">
        <f t="shared" si="0"/>
        <v>393</v>
      </c>
      <c r="I23" s="504">
        <v>800</v>
      </c>
      <c r="J23" s="504">
        <f t="shared" si="1"/>
        <v>3200</v>
      </c>
      <c r="K23" s="504">
        <v>1200</v>
      </c>
      <c r="L23" s="504">
        <f t="shared" si="2"/>
        <v>4800</v>
      </c>
      <c r="M23" s="504">
        <f t="shared" si="3"/>
        <v>1200</v>
      </c>
      <c r="N23" s="504">
        <f t="shared" si="4"/>
        <v>4320</v>
      </c>
      <c r="O23" s="504">
        <f t="shared" si="5"/>
        <v>6479.999999999999</v>
      </c>
      <c r="P23" s="504">
        <v>4500</v>
      </c>
      <c r="Q23" s="504">
        <f t="shared" si="6"/>
        <v>29159999.999999996</v>
      </c>
      <c r="R23" s="504">
        <f t="shared" si="8"/>
        <v>18954000</v>
      </c>
      <c r="S23" s="504">
        <f t="shared" si="9"/>
        <v>7289999.999999999</v>
      </c>
      <c r="T23" s="504">
        <f aca="true" t="shared" si="12" ref="T23:T38">+Q23*0.05</f>
        <v>1458000</v>
      </c>
      <c r="U23" s="504">
        <f t="shared" si="11"/>
        <v>1457999.9999999963</v>
      </c>
      <c r="V23" s="504">
        <f t="shared" si="7"/>
        <v>29159999.999999996</v>
      </c>
      <c r="W23" s="504" t="s">
        <v>1097</v>
      </c>
    </row>
    <row r="24" spans="1:23" ht="34.5" customHeight="1">
      <c r="A24" s="503">
        <v>20</v>
      </c>
      <c r="B24" s="502" t="s">
        <v>38</v>
      </c>
      <c r="C24" s="503" t="s">
        <v>39</v>
      </c>
      <c r="D24" s="1430" t="s">
        <v>40</v>
      </c>
      <c r="E24" s="1430"/>
      <c r="F24" s="502" t="s">
        <v>14</v>
      </c>
      <c r="G24" s="504">
        <v>320</v>
      </c>
      <c r="H24" s="504">
        <f t="shared" si="0"/>
        <v>274.1333333333333</v>
      </c>
      <c r="I24" s="504">
        <v>600</v>
      </c>
      <c r="J24" s="504">
        <f t="shared" si="1"/>
        <v>2400</v>
      </c>
      <c r="K24" s="504">
        <v>514</v>
      </c>
      <c r="L24" s="504">
        <f t="shared" si="2"/>
        <v>2056</v>
      </c>
      <c r="M24" s="504">
        <f t="shared" si="3"/>
        <v>514</v>
      </c>
      <c r="N24" s="504">
        <f t="shared" si="4"/>
        <v>3239.9999999999995</v>
      </c>
      <c r="O24" s="504">
        <f t="shared" si="5"/>
        <v>2775.6</v>
      </c>
      <c r="P24" s="504">
        <v>3500</v>
      </c>
      <c r="Q24" s="504">
        <f t="shared" si="6"/>
        <v>9714600</v>
      </c>
      <c r="R24" s="504">
        <f t="shared" si="8"/>
        <v>6314490</v>
      </c>
      <c r="S24" s="504">
        <f t="shared" si="9"/>
        <v>2428650</v>
      </c>
      <c r="T24" s="504">
        <f t="shared" si="12"/>
        <v>485730</v>
      </c>
      <c r="U24" s="504">
        <f t="shared" si="11"/>
        <v>485730</v>
      </c>
      <c r="V24" s="504">
        <f t="shared" si="7"/>
        <v>9714600</v>
      </c>
      <c r="W24" s="504" t="s">
        <v>41</v>
      </c>
    </row>
    <row r="25" spans="1:23" ht="34.5" customHeight="1">
      <c r="A25" s="503">
        <v>21</v>
      </c>
      <c r="B25" s="502" t="s">
        <v>38</v>
      </c>
      <c r="C25" s="503" t="s">
        <v>1100</v>
      </c>
      <c r="D25" s="1430" t="s">
        <v>42</v>
      </c>
      <c r="E25" s="1430"/>
      <c r="F25" s="502" t="s">
        <v>14</v>
      </c>
      <c r="G25" s="504">
        <v>400</v>
      </c>
      <c r="H25" s="504">
        <f t="shared" si="0"/>
        <v>233.78995433789953</v>
      </c>
      <c r="I25" s="504">
        <v>1095</v>
      </c>
      <c r="J25" s="504">
        <f t="shared" si="1"/>
        <v>4380</v>
      </c>
      <c r="K25" s="504">
        <v>640</v>
      </c>
      <c r="L25" s="504">
        <f t="shared" si="2"/>
        <v>2560</v>
      </c>
      <c r="M25" s="504">
        <f t="shared" si="3"/>
        <v>640</v>
      </c>
      <c r="N25" s="504">
        <f t="shared" si="4"/>
        <v>5912.999999999999</v>
      </c>
      <c r="O25" s="504">
        <f t="shared" si="5"/>
        <v>3455.9999999999995</v>
      </c>
      <c r="P25" s="504">
        <v>4000</v>
      </c>
      <c r="Q25" s="504">
        <f t="shared" si="6"/>
        <v>13823999.999999998</v>
      </c>
      <c r="R25" s="504">
        <f t="shared" si="8"/>
        <v>8985600</v>
      </c>
      <c r="S25" s="504">
        <f t="shared" si="9"/>
        <v>3455999.9999999995</v>
      </c>
      <c r="T25" s="504">
        <f t="shared" si="12"/>
        <v>691200</v>
      </c>
      <c r="U25" s="504">
        <f t="shared" si="11"/>
        <v>691199.9999999981</v>
      </c>
      <c r="V25" s="504">
        <f t="shared" si="7"/>
        <v>13823999.999999998</v>
      </c>
      <c r="W25" s="504" t="s">
        <v>1052</v>
      </c>
    </row>
    <row r="26" spans="1:23" ht="34.5" customHeight="1">
      <c r="A26" s="503">
        <v>22</v>
      </c>
      <c r="B26" s="502" t="s">
        <v>38</v>
      </c>
      <c r="C26" s="503" t="s">
        <v>1102</v>
      </c>
      <c r="D26" s="1430" t="s">
        <v>1103</v>
      </c>
      <c r="E26" s="1430"/>
      <c r="F26" s="502" t="s">
        <v>14</v>
      </c>
      <c r="G26" s="504">
        <v>637</v>
      </c>
      <c r="H26" s="504">
        <f t="shared" si="0"/>
        <v>360.96666666666664</v>
      </c>
      <c r="I26" s="504">
        <v>1200</v>
      </c>
      <c r="J26" s="504">
        <f t="shared" si="1"/>
        <v>4800</v>
      </c>
      <c r="K26" s="504">
        <v>680</v>
      </c>
      <c r="L26" s="504">
        <f t="shared" si="2"/>
        <v>2720</v>
      </c>
      <c r="M26" s="504">
        <f t="shared" si="3"/>
        <v>680</v>
      </c>
      <c r="N26" s="504">
        <f t="shared" si="4"/>
        <v>6479.999999999999</v>
      </c>
      <c r="O26" s="504">
        <f t="shared" si="5"/>
        <v>3671.9999999999995</v>
      </c>
      <c r="P26" s="504">
        <v>4000</v>
      </c>
      <c r="Q26" s="504">
        <f t="shared" si="6"/>
        <v>14687999.999999998</v>
      </c>
      <c r="R26" s="504">
        <f t="shared" si="8"/>
        <v>9547200</v>
      </c>
      <c r="S26" s="504">
        <f t="shared" si="9"/>
        <v>3671999.9999999995</v>
      </c>
      <c r="T26" s="504">
        <f t="shared" si="12"/>
        <v>734400</v>
      </c>
      <c r="U26" s="504">
        <f t="shared" si="11"/>
        <v>734399.9999999981</v>
      </c>
      <c r="V26" s="504">
        <f t="shared" si="7"/>
        <v>14687999.999999998</v>
      </c>
      <c r="W26" s="504" t="s">
        <v>1052</v>
      </c>
    </row>
    <row r="27" spans="1:23" ht="34.5" customHeight="1">
      <c r="A27" s="503">
        <v>23</v>
      </c>
      <c r="B27" s="502" t="s">
        <v>38</v>
      </c>
      <c r="C27" s="503" t="s">
        <v>43</v>
      </c>
      <c r="D27" s="1430" t="s">
        <v>44</v>
      </c>
      <c r="E27" s="1430"/>
      <c r="F27" s="502" t="s">
        <v>12</v>
      </c>
      <c r="G27" s="504">
        <v>760</v>
      </c>
      <c r="H27" s="504">
        <f t="shared" si="0"/>
        <v>4075.6043956043954</v>
      </c>
      <c r="I27" s="504">
        <v>182</v>
      </c>
      <c r="J27" s="504">
        <f t="shared" si="1"/>
        <v>728</v>
      </c>
      <c r="K27" s="504">
        <v>976</v>
      </c>
      <c r="L27" s="504">
        <f t="shared" si="2"/>
        <v>3904</v>
      </c>
      <c r="M27" s="504">
        <f t="shared" si="3"/>
        <v>976</v>
      </c>
      <c r="N27" s="504">
        <f t="shared" si="4"/>
        <v>982.8</v>
      </c>
      <c r="O27" s="504">
        <f t="shared" si="5"/>
        <v>5270.4</v>
      </c>
      <c r="P27" s="504">
        <v>6300</v>
      </c>
      <c r="Q27" s="504">
        <f t="shared" si="6"/>
        <v>33203519.999999996</v>
      </c>
      <c r="R27" s="504">
        <f t="shared" si="8"/>
        <v>21582288</v>
      </c>
      <c r="S27" s="504">
        <f t="shared" si="9"/>
        <v>8300879.999999999</v>
      </c>
      <c r="T27" s="504">
        <f t="shared" si="12"/>
        <v>1660176</v>
      </c>
      <c r="U27" s="504">
        <f t="shared" si="11"/>
        <v>1660175.9999999963</v>
      </c>
      <c r="V27" s="504">
        <f t="shared" si="7"/>
        <v>33203519.999999996</v>
      </c>
      <c r="W27" s="504" t="s">
        <v>13</v>
      </c>
    </row>
    <row r="28" spans="1:23" ht="34.5" customHeight="1">
      <c r="A28" s="503">
        <v>24</v>
      </c>
      <c r="B28" s="502" t="s">
        <v>38</v>
      </c>
      <c r="C28" s="503" t="s">
        <v>1013</v>
      </c>
      <c r="D28" s="1430" t="s">
        <v>45</v>
      </c>
      <c r="E28" s="1430"/>
      <c r="F28" s="502" t="s">
        <v>12</v>
      </c>
      <c r="G28" s="504">
        <v>1800</v>
      </c>
      <c r="H28" s="504">
        <f t="shared" si="0"/>
        <v>7268.512110726643</v>
      </c>
      <c r="I28" s="504">
        <v>289</v>
      </c>
      <c r="J28" s="504">
        <f t="shared" si="1"/>
        <v>1156</v>
      </c>
      <c r="K28" s="504">
        <v>1167</v>
      </c>
      <c r="L28" s="504">
        <f t="shared" si="2"/>
        <v>4668</v>
      </c>
      <c r="M28" s="504">
        <f t="shared" si="3"/>
        <v>1167</v>
      </c>
      <c r="N28" s="504">
        <f t="shared" si="4"/>
        <v>1560.6</v>
      </c>
      <c r="O28" s="504">
        <f t="shared" si="5"/>
        <v>6301.799999999999</v>
      </c>
      <c r="P28" s="504">
        <v>5600</v>
      </c>
      <c r="Q28" s="504">
        <f t="shared" si="6"/>
        <v>35290079.99999999</v>
      </c>
      <c r="R28" s="504">
        <f t="shared" si="8"/>
        <v>22938551.999999996</v>
      </c>
      <c r="S28" s="504">
        <f t="shared" si="9"/>
        <v>8822519.999999998</v>
      </c>
      <c r="T28" s="504">
        <f t="shared" si="12"/>
        <v>1764503.9999999998</v>
      </c>
      <c r="U28" s="504">
        <f t="shared" si="11"/>
        <v>1764504</v>
      </c>
      <c r="V28" s="504">
        <f t="shared" si="7"/>
        <v>35290079.99999999</v>
      </c>
      <c r="W28" s="504" t="s">
        <v>13</v>
      </c>
    </row>
    <row r="29" spans="1:23" ht="34.5" customHeight="1">
      <c r="A29" s="503">
        <v>25</v>
      </c>
      <c r="B29" s="502" t="s">
        <v>38</v>
      </c>
      <c r="C29" s="503" t="s">
        <v>327</v>
      </c>
      <c r="D29" s="1430" t="s">
        <v>46</v>
      </c>
      <c r="E29" s="1430"/>
      <c r="F29" s="502" t="s">
        <v>12</v>
      </c>
      <c r="G29" s="504"/>
      <c r="H29" s="504">
        <f t="shared" si="0"/>
        <v>0</v>
      </c>
      <c r="I29" s="504">
        <v>417</v>
      </c>
      <c r="J29" s="504">
        <f t="shared" si="1"/>
        <v>1668</v>
      </c>
      <c r="K29" s="504">
        <v>1060</v>
      </c>
      <c r="L29" s="504">
        <f t="shared" si="2"/>
        <v>4240</v>
      </c>
      <c r="M29" s="504">
        <f t="shared" si="3"/>
        <v>1060</v>
      </c>
      <c r="N29" s="504">
        <f t="shared" si="4"/>
        <v>2251.7999999999997</v>
      </c>
      <c r="O29" s="504">
        <f t="shared" si="5"/>
        <v>5723.999999999999</v>
      </c>
      <c r="P29" s="504">
        <v>5600</v>
      </c>
      <c r="Q29" s="504">
        <f t="shared" si="6"/>
        <v>32054399.999999996</v>
      </c>
      <c r="R29" s="504">
        <f t="shared" si="8"/>
        <v>20835360</v>
      </c>
      <c r="S29" s="504">
        <f t="shared" si="9"/>
        <v>8013599.999999999</v>
      </c>
      <c r="T29" s="504">
        <f t="shared" si="12"/>
        <v>1602720</v>
      </c>
      <c r="U29" s="504">
        <f t="shared" si="11"/>
        <v>1602719.9999999963</v>
      </c>
      <c r="V29" s="504">
        <f t="shared" si="7"/>
        <v>32054399.999999996</v>
      </c>
      <c r="W29" s="504" t="s">
        <v>13</v>
      </c>
    </row>
    <row r="30" spans="1:23" ht="34.5" customHeight="1">
      <c r="A30" s="503">
        <v>26</v>
      </c>
      <c r="B30" s="502" t="s">
        <v>38</v>
      </c>
      <c r="C30" s="503" t="s">
        <v>47</v>
      </c>
      <c r="D30" s="1430" t="s">
        <v>48</v>
      </c>
      <c r="E30" s="1430"/>
      <c r="F30" s="502" t="s">
        <v>12</v>
      </c>
      <c r="G30" s="504"/>
      <c r="H30" s="504">
        <f t="shared" si="0"/>
        <v>0</v>
      </c>
      <c r="I30" s="504">
        <v>2000</v>
      </c>
      <c r="J30" s="504">
        <f t="shared" si="1"/>
        <v>8000</v>
      </c>
      <c r="K30" s="504">
        <v>250</v>
      </c>
      <c r="L30" s="504">
        <f t="shared" si="2"/>
        <v>1000</v>
      </c>
      <c r="M30" s="504">
        <f t="shared" si="3"/>
        <v>250</v>
      </c>
      <c r="N30" s="504">
        <f t="shared" si="4"/>
        <v>10799.999999999998</v>
      </c>
      <c r="O30" s="504">
        <f t="shared" si="5"/>
        <v>1349.9999999999998</v>
      </c>
      <c r="P30" s="504">
        <v>6300</v>
      </c>
      <c r="Q30" s="504">
        <f t="shared" si="6"/>
        <v>8504999.999999998</v>
      </c>
      <c r="R30" s="504">
        <f t="shared" si="8"/>
        <v>5528249.999999999</v>
      </c>
      <c r="S30" s="504">
        <f t="shared" si="9"/>
        <v>2126249.9999999995</v>
      </c>
      <c r="T30" s="504">
        <f t="shared" si="12"/>
        <v>425249.99999999994</v>
      </c>
      <c r="U30" s="504">
        <f t="shared" si="11"/>
        <v>425250</v>
      </c>
      <c r="V30" s="504">
        <f t="shared" si="7"/>
        <v>8504999.999999998</v>
      </c>
      <c r="W30" s="504" t="s">
        <v>13</v>
      </c>
    </row>
    <row r="31" spans="1:23" ht="34.5" customHeight="1">
      <c r="A31" s="503">
        <v>27</v>
      </c>
      <c r="B31" s="502" t="s">
        <v>49</v>
      </c>
      <c r="C31" s="503" t="s">
        <v>1105</v>
      </c>
      <c r="D31" s="1430" t="s">
        <v>1106</v>
      </c>
      <c r="E31" s="1430"/>
      <c r="F31" s="502" t="s">
        <v>14</v>
      </c>
      <c r="G31" s="504">
        <v>108</v>
      </c>
      <c r="H31" s="504">
        <f t="shared" si="0"/>
        <v>71.55</v>
      </c>
      <c r="I31" s="504">
        <v>320</v>
      </c>
      <c r="J31" s="504">
        <f t="shared" si="1"/>
        <v>1280</v>
      </c>
      <c r="K31" s="504">
        <v>212</v>
      </c>
      <c r="L31" s="504">
        <f t="shared" si="2"/>
        <v>848</v>
      </c>
      <c r="M31" s="504">
        <f t="shared" si="3"/>
        <v>212</v>
      </c>
      <c r="N31" s="504">
        <f t="shared" si="4"/>
        <v>1727.9999999999998</v>
      </c>
      <c r="O31" s="504">
        <f t="shared" si="5"/>
        <v>1144.8</v>
      </c>
      <c r="P31" s="504">
        <v>5000</v>
      </c>
      <c r="Q31" s="504">
        <f t="shared" si="6"/>
        <v>5724000</v>
      </c>
      <c r="R31" s="504">
        <f t="shared" si="8"/>
        <v>3720600</v>
      </c>
      <c r="S31" s="504">
        <f t="shared" si="9"/>
        <v>1431000</v>
      </c>
      <c r="T31" s="504">
        <f t="shared" si="12"/>
        <v>286200</v>
      </c>
      <c r="U31" s="504">
        <f t="shared" si="11"/>
        <v>286200</v>
      </c>
      <c r="V31" s="504">
        <f t="shared" si="7"/>
        <v>5724000</v>
      </c>
      <c r="W31" s="504" t="s">
        <v>1064</v>
      </c>
    </row>
    <row r="32" spans="1:23" ht="34.5" customHeight="1">
      <c r="A32" s="503">
        <v>28</v>
      </c>
      <c r="B32" s="502" t="s">
        <v>49</v>
      </c>
      <c r="C32" s="503" t="s">
        <v>1107</v>
      </c>
      <c r="D32" s="1430" t="s">
        <v>50</v>
      </c>
      <c r="E32" s="1430"/>
      <c r="F32" s="502" t="s">
        <v>12</v>
      </c>
      <c r="G32" s="504">
        <v>9500</v>
      </c>
      <c r="H32" s="504">
        <f t="shared" si="0"/>
        <v>5690.5</v>
      </c>
      <c r="I32" s="504">
        <v>7000</v>
      </c>
      <c r="J32" s="504">
        <f t="shared" si="1"/>
        <v>28000</v>
      </c>
      <c r="K32" s="504">
        <v>4193</v>
      </c>
      <c r="L32" s="504">
        <f t="shared" si="2"/>
        <v>16772</v>
      </c>
      <c r="M32" s="504">
        <f t="shared" si="3"/>
        <v>4193</v>
      </c>
      <c r="N32" s="504">
        <f t="shared" si="4"/>
        <v>37799.99999999999</v>
      </c>
      <c r="O32" s="504">
        <f t="shared" si="5"/>
        <v>22642.199999999997</v>
      </c>
      <c r="P32" s="504">
        <v>6100</v>
      </c>
      <c r="Q32" s="504">
        <f t="shared" si="6"/>
        <v>138117419.99999997</v>
      </c>
      <c r="R32" s="504">
        <f t="shared" si="8"/>
        <v>89776322.99999999</v>
      </c>
      <c r="S32" s="504">
        <f t="shared" si="9"/>
        <v>34529354.99999999</v>
      </c>
      <c r="T32" s="504">
        <f t="shared" si="12"/>
        <v>6905870.999999999</v>
      </c>
      <c r="U32" s="504">
        <f t="shared" si="11"/>
        <v>6905871</v>
      </c>
      <c r="V32" s="504">
        <f t="shared" si="7"/>
        <v>138117419.99999997</v>
      </c>
      <c r="W32" s="504" t="s">
        <v>13</v>
      </c>
    </row>
    <row r="33" spans="1:23" ht="34.5" customHeight="1">
      <c r="A33" s="503">
        <v>29</v>
      </c>
      <c r="B33" s="502" t="s">
        <v>49</v>
      </c>
      <c r="C33" s="503" t="s">
        <v>1109</v>
      </c>
      <c r="D33" s="1430" t="s">
        <v>1110</v>
      </c>
      <c r="E33" s="1430"/>
      <c r="F33" s="502" t="s">
        <v>14</v>
      </c>
      <c r="G33" s="504">
        <v>360</v>
      </c>
      <c r="H33" s="504">
        <f t="shared" si="0"/>
        <v>15.2</v>
      </c>
      <c r="I33" s="504">
        <v>900</v>
      </c>
      <c r="J33" s="504">
        <f t="shared" si="1"/>
        <v>3600</v>
      </c>
      <c r="K33" s="504">
        <v>38</v>
      </c>
      <c r="L33" s="504">
        <f t="shared" si="2"/>
        <v>152</v>
      </c>
      <c r="M33" s="504">
        <f t="shared" si="3"/>
        <v>38</v>
      </c>
      <c r="N33" s="504">
        <f t="shared" si="4"/>
        <v>4859.999999999999</v>
      </c>
      <c r="O33" s="504">
        <f t="shared" si="5"/>
        <v>205.2</v>
      </c>
      <c r="P33" s="504">
        <v>5000</v>
      </c>
      <c r="Q33" s="504">
        <f t="shared" si="6"/>
        <v>1026000</v>
      </c>
      <c r="R33" s="504">
        <f t="shared" si="8"/>
        <v>666900</v>
      </c>
      <c r="S33" s="504">
        <f t="shared" si="9"/>
        <v>256500</v>
      </c>
      <c r="T33" s="504">
        <f t="shared" si="12"/>
        <v>51300</v>
      </c>
      <c r="U33" s="504">
        <f t="shared" si="11"/>
        <v>51300</v>
      </c>
      <c r="V33" s="504">
        <f t="shared" si="7"/>
        <v>1026000</v>
      </c>
      <c r="W33" s="504" t="s">
        <v>1064</v>
      </c>
    </row>
    <row r="34" spans="1:23" ht="34.5" customHeight="1">
      <c r="A34" s="503">
        <v>30</v>
      </c>
      <c r="B34" s="502" t="s">
        <v>51</v>
      </c>
      <c r="C34" s="503" t="s">
        <v>1114</v>
      </c>
      <c r="D34" s="1430" t="s">
        <v>1115</v>
      </c>
      <c r="E34" s="1430"/>
      <c r="F34" s="502" t="s">
        <v>14</v>
      </c>
      <c r="G34" s="504">
        <v>250</v>
      </c>
      <c r="H34" s="504">
        <f t="shared" si="0"/>
        <v>114.54183266932272</v>
      </c>
      <c r="I34" s="504">
        <v>502</v>
      </c>
      <c r="J34" s="504">
        <f t="shared" si="1"/>
        <v>2008</v>
      </c>
      <c r="K34" s="504">
        <v>230</v>
      </c>
      <c r="L34" s="504">
        <f t="shared" si="2"/>
        <v>920</v>
      </c>
      <c r="M34" s="504">
        <f t="shared" si="3"/>
        <v>230</v>
      </c>
      <c r="N34" s="504">
        <f t="shared" si="4"/>
        <v>2710.7999999999997</v>
      </c>
      <c r="O34" s="504">
        <f t="shared" si="5"/>
        <v>1241.9999999999998</v>
      </c>
      <c r="P34" s="504">
        <v>5500</v>
      </c>
      <c r="Q34" s="504">
        <f t="shared" si="6"/>
        <v>6830999.999999999</v>
      </c>
      <c r="R34" s="504">
        <f t="shared" si="8"/>
        <v>4440150</v>
      </c>
      <c r="S34" s="504">
        <f t="shared" si="9"/>
        <v>1707749.9999999998</v>
      </c>
      <c r="T34" s="504">
        <f t="shared" si="12"/>
        <v>341550</v>
      </c>
      <c r="U34" s="504">
        <f t="shared" si="11"/>
        <v>341549.99999999907</v>
      </c>
      <c r="V34" s="504">
        <f t="shared" si="7"/>
        <v>6830999.999999999</v>
      </c>
      <c r="W34" s="504" t="s">
        <v>1055</v>
      </c>
    </row>
    <row r="35" spans="1:23" ht="34.5" customHeight="1">
      <c r="A35" s="503">
        <v>31</v>
      </c>
      <c r="B35" s="502" t="s">
        <v>51</v>
      </c>
      <c r="C35" s="503" t="s">
        <v>1116</v>
      </c>
      <c r="D35" s="1430" t="s">
        <v>1117</v>
      </c>
      <c r="E35" s="1430"/>
      <c r="F35" s="502" t="s">
        <v>14</v>
      </c>
      <c r="G35" s="504">
        <v>269</v>
      </c>
      <c r="H35" s="504">
        <f t="shared" si="0"/>
        <v>151.81657848324514</v>
      </c>
      <c r="I35" s="504">
        <v>567</v>
      </c>
      <c r="J35" s="504">
        <f t="shared" si="1"/>
        <v>2268</v>
      </c>
      <c r="K35" s="504">
        <v>320</v>
      </c>
      <c r="L35" s="504">
        <f t="shared" si="2"/>
        <v>1280</v>
      </c>
      <c r="M35" s="504">
        <f t="shared" si="3"/>
        <v>320</v>
      </c>
      <c r="N35" s="504">
        <f t="shared" si="4"/>
        <v>3061.7999999999997</v>
      </c>
      <c r="O35" s="504">
        <f t="shared" si="5"/>
        <v>1727.9999999999998</v>
      </c>
      <c r="P35" s="504">
        <v>5500</v>
      </c>
      <c r="Q35" s="504">
        <f t="shared" si="6"/>
        <v>9503999.999999998</v>
      </c>
      <c r="R35" s="504">
        <f t="shared" si="8"/>
        <v>6177599.999999999</v>
      </c>
      <c r="S35" s="504">
        <f t="shared" si="9"/>
        <v>2375999.9999999995</v>
      </c>
      <c r="T35" s="504">
        <f t="shared" si="12"/>
        <v>475199.99999999994</v>
      </c>
      <c r="U35" s="504">
        <f t="shared" si="11"/>
        <v>475200</v>
      </c>
      <c r="V35" s="504">
        <f t="shared" si="7"/>
        <v>9503999.999999998</v>
      </c>
      <c r="W35" s="504" t="s">
        <v>1055</v>
      </c>
    </row>
    <row r="36" spans="1:23" ht="34.5" customHeight="1">
      <c r="A36" s="503">
        <v>32</v>
      </c>
      <c r="B36" s="502" t="s">
        <v>52</v>
      </c>
      <c r="C36" s="503" t="s">
        <v>1119</v>
      </c>
      <c r="D36" s="1430" t="s">
        <v>1120</v>
      </c>
      <c r="E36" s="1430"/>
      <c r="F36" s="502" t="s">
        <v>14</v>
      </c>
      <c r="G36" s="504">
        <v>690</v>
      </c>
      <c r="H36" s="504">
        <f t="shared" si="0"/>
        <v>227.7</v>
      </c>
      <c r="I36" s="504">
        <v>600</v>
      </c>
      <c r="J36" s="504">
        <f t="shared" si="1"/>
        <v>2400</v>
      </c>
      <c r="K36" s="504">
        <v>198</v>
      </c>
      <c r="L36" s="504">
        <f t="shared" si="2"/>
        <v>792</v>
      </c>
      <c r="M36" s="504">
        <f t="shared" si="3"/>
        <v>198</v>
      </c>
      <c r="N36" s="504">
        <f t="shared" si="4"/>
        <v>3239.9999999999995</v>
      </c>
      <c r="O36" s="504">
        <f t="shared" si="5"/>
        <v>1069.1999999999998</v>
      </c>
      <c r="P36" s="504">
        <v>3500</v>
      </c>
      <c r="Q36" s="504">
        <f t="shared" si="6"/>
        <v>3742199.9999999995</v>
      </c>
      <c r="R36" s="504">
        <f t="shared" si="8"/>
        <v>2432430</v>
      </c>
      <c r="S36" s="504">
        <f t="shared" si="9"/>
        <v>935549.9999999999</v>
      </c>
      <c r="T36" s="504">
        <f t="shared" si="12"/>
        <v>187110</v>
      </c>
      <c r="U36" s="504">
        <f t="shared" si="11"/>
        <v>187109.99999999953</v>
      </c>
      <c r="V36" s="504">
        <f t="shared" si="7"/>
        <v>3742199.9999999995</v>
      </c>
      <c r="W36" s="504" t="s">
        <v>1055</v>
      </c>
    </row>
    <row r="37" spans="1:23" ht="34.5" customHeight="1">
      <c r="A37" s="503">
        <v>33</v>
      </c>
      <c r="B37" s="502" t="s">
        <v>52</v>
      </c>
      <c r="C37" s="503" t="s">
        <v>1123</v>
      </c>
      <c r="D37" s="1430" t="s">
        <v>1124</v>
      </c>
      <c r="E37" s="1430"/>
      <c r="F37" s="502" t="s">
        <v>14</v>
      </c>
      <c r="G37" s="504">
        <v>805</v>
      </c>
      <c r="H37" s="504">
        <f aca="true" t="shared" si="13" ref="H37:H65">+G37*L37/J37</f>
        <v>338.1</v>
      </c>
      <c r="I37" s="504">
        <v>600</v>
      </c>
      <c r="J37" s="504">
        <f aca="true" t="shared" si="14" ref="J37:J68">+I37*4</f>
        <v>2400</v>
      </c>
      <c r="K37" s="504">
        <v>252</v>
      </c>
      <c r="L37" s="504">
        <f aca="true" t="shared" si="15" ref="L37:L68">+K37*4</f>
        <v>1008</v>
      </c>
      <c r="M37" s="504">
        <f aca="true" t="shared" si="16" ref="M37:M68">+K37</f>
        <v>252</v>
      </c>
      <c r="N37" s="504">
        <f aca="true" t="shared" si="17" ref="N37:N68">45*0.001*30*J37</f>
        <v>3239.9999999999995</v>
      </c>
      <c r="O37" s="504">
        <f aca="true" t="shared" si="18" ref="O37:O68">45*0.001*30*L37</f>
        <v>1360.8</v>
      </c>
      <c r="P37" s="504">
        <v>4500</v>
      </c>
      <c r="Q37" s="504">
        <f t="shared" si="6"/>
        <v>6123600</v>
      </c>
      <c r="R37" s="504">
        <f t="shared" si="8"/>
        <v>3980340</v>
      </c>
      <c r="S37" s="504">
        <f t="shared" si="9"/>
        <v>1530900</v>
      </c>
      <c r="T37" s="504">
        <f t="shared" si="12"/>
        <v>306180</v>
      </c>
      <c r="U37" s="504">
        <f t="shared" si="11"/>
        <v>306180</v>
      </c>
      <c r="V37" s="504">
        <f aca="true" t="shared" si="19" ref="V37:V68">+SUM(R37:U37)</f>
        <v>6123600</v>
      </c>
      <c r="W37" s="504" t="s">
        <v>1055</v>
      </c>
    </row>
    <row r="38" spans="1:23" ht="34.5" customHeight="1">
      <c r="A38" s="503">
        <v>34</v>
      </c>
      <c r="B38" s="502" t="s">
        <v>53</v>
      </c>
      <c r="C38" s="503" t="s">
        <v>1126</v>
      </c>
      <c r="D38" s="1430" t="s">
        <v>54</v>
      </c>
      <c r="E38" s="1430"/>
      <c r="F38" s="502" t="s">
        <v>55</v>
      </c>
      <c r="G38" s="504">
        <v>44</v>
      </c>
      <c r="H38" s="504">
        <f t="shared" si="13"/>
        <v>16</v>
      </c>
      <c r="I38" s="504">
        <v>110</v>
      </c>
      <c r="J38" s="504">
        <f t="shared" si="14"/>
        <v>440</v>
      </c>
      <c r="K38" s="504">
        <v>40</v>
      </c>
      <c r="L38" s="504">
        <f t="shared" si="15"/>
        <v>160</v>
      </c>
      <c r="M38" s="504">
        <f t="shared" si="16"/>
        <v>40</v>
      </c>
      <c r="N38" s="504">
        <f t="shared" si="17"/>
        <v>593.9999999999999</v>
      </c>
      <c r="O38" s="504">
        <f t="shared" si="18"/>
        <v>215.99999999999997</v>
      </c>
      <c r="P38" s="514">
        <v>0</v>
      </c>
      <c r="Q38" s="504">
        <f t="shared" si="6"/>
        <v>0</v>
      </c>
      <c r="R38" s="504">
        <f t="shared" si="8"/>
        <v>0</v>
      </c>
      <c r="S38" s="504">
        <f t="shared" si="9"/>
        <v>0</v>
      </c>
      <c r="T38" s="504">
        <f t="shared" si="12"/>
        <v>0</v>
      </c>
      <c r="U38" s="504">
        <f t="shared" si="11"/>
        <v>0</v>
      </c>
      <c r="V38" s="504">
        <f t="shared" si="19"/>
        <v>0</v>
      </c>
      <c r="W38" s="504" t="s">
        <v>1061</v>
      </c>
    </row>
    <row r="39" spans="1:23" ht="34.5" customHeight="1">
      <c r="A39" s="503">
        <v>35</v>
      </c>
      <c r="B39" s="502" t="s">
        <v>53</v>
      </c>
      <c r="C39" s="503" t="s">
        <v>56</v>
      </c>
      <c r="D39" s="1430" t="s">
        <v>57</v>
      </c>
      <c r="E39" s="1430"/>
      <c r="F39" s="502" t="s">
        <v>55</v>
      </c>
      <c r="G39" s="504">
        <v>26</v>
      </c>
      <c r="H39" s="504">
        <f t="shared" si="13"/>
        <v>12.1875</v>
      </c>
      <c r="I39" s="504">
        <v>64</v>
      </c>
      <c r="J39" s="504">
        <f t="shared" si="14"/>
        <v>256</v>
      </c>
      <c r="K39" s="504">
        <v>30</v>
      </c>
      <c r="L39" s="504">
        <f t="shared" si="15"/>
        <v>120</v>
      </c>
      <c r="M39" s="504">
        <f t="shared" si="16"/>
        <v>30</v>
      </c>
      <c r="N39" s="504">
        <f t="shared" si="17"/>
        <v>345.59999999999997</v>
      </c>
      <c r="O39" s="504">
        <f t="shared" si="18"/>
        <v>161.99999999999997</v>
      </c>
      <c r="P39" s="504" t="s">
        <v>58</v>
      </c>
      <c r="Q39" s="504">
        <f>20000*K39</f>
        <v>600000</v>
      </c>
      <c r="R39" s="504">
        <f aca="true" t="shared" si="20" ref="R39:R70">+Q39*0.65</f>
        <v>390000</v>
      </c>
      <c r="S39" s="504">
        <v>0</v>
      </c>
      <c r="T39" s="504">
        <v>0</v>
      </c>
      <c r="U39" s="504">
        <f t="shared" si="11"/>
        <v>210000</v>
      </c>
      <c r="V39" s="504">
        <f t="shared" si="19"/>
        <v>600000</v>
      </c>
      <c r="W39" s="504" t="s">
        <v>1061</v>
      </c>
    </row>
    <row r="40" spans="1:23" ht="34.5" customHeight="1">
      <c r="A40" s="503">
        <v>36</v>
      </c>
      <c r="B40" s="502" t="s">
        <v>53</v>
      </c>
      <c r="C40" s="503" t="s">
        <v>56</v>
      </c>
      <c r="D40" s="1430" t="s">
        <v>59</v>
      </c>
      <c r="E40" s="1430"/>
      <c r="F40" s="502" t="s">
        <v>55</v>
      </c>
      <c r="G40" s="504">
        <v>8</v>
      </c>
      <c r="H40" s="504">
        <f t="shared" si="13"/>
        <v>2.6666666666666665</v>
      </c>
      <c r="I40" s="504">
        <v>21</v>
      </c>
      <c r="J40" s="504">
        <f t="shared" si="14"/>
        <v>84</v>
      </c>
      <c r="K40" s="504">
        <v>7</v>
      </c>
      <c r="L40" s="504">
        <f t="shared" si="15"/>
        <v>28</v>
      </c>
      <c r="M40" s="504">
        <f t="shared" si="16"/>
        <v>7</v>
      </c>
      <c r="N40" s="504">
        <f t="shared" si="17"/>
        <v>113.39999999999999</v>
      </c>
      <c r="O40" s="504">
        <f t="shared" si="18"/>
        <v>37.8</v>
      </c>
      <c r="P40" s="504">
        <v>0</v>
      </c>
      <c r="Q40" s="504">
        <f>+P40*O40</f>
        <v>0</v>
      </c>
      <c r="R40" s="504">
        <f t="shared" si="20"/>
        <v>0</v>
      </c>
      <c r="S40" s="504">
        <f>+Q40*0.25</f>
        <v>0</v>
      </c>
      <c r="T40" s="504">
        <f>+Q40*0.05</f>
        <v>0</v>
      </c>
      <c r="U40" s="504">
        <f t="shared" si="11"/>
        <v>0</v>
      </c>
      <c r="V40" s="504">
        <f t="shared" si="19"/>
        <v>0</v>
      </c>
      <c r="W40" s="504" t="s">
        <v>1061</v>
      </c>
    </row>
    <row r="41" spans="1:23" ht="34.5" customHeight="1">
      <c r="A41" s="503">
        <v>37</v>
      </c>
      <c r="B41" s="502" t="s">
        <v>53</v>
      </c>
      <c r="C41" s="503" t="s">
        <v>60</v>
      </c>
      <c r="D41" s="1430" t="s">
        <v>61</v>
      </c>
      <c r="E41" s="1430"/>
      <c r="F41" s="502" t="s">
        <v>55</v>
      </c>
      <c r="G41" s="504">
        <v>32</v>
      </c>
      <c r="H41" s="504">
        <f t="shared" si="13"/>
        <v>24.935064935064936</v>
      </c>
      <c r="I41" s="504">
        <v>77</v>
      </c>
      <c r="J41" s="504">
        <f t="shared" si="14"/>
        <v>308</v>
      </c>
      <c r="K41" s="504">
        <v>60</v>
      </c>
      <c r="L41" s="504">
        <f t="shared" si="15"/>
        <v>240</v>
      </c>
      <c r="M41" s="504">
        <f t="shared" si="16"/>
        <v>60</v>
      </c>
      <c r="N41" s="504">
        <f t="shared" si="17"/>
        <v>415.79999999999995</v>
      </c>
      <c r="O41" s="504">
        <f t="shared" si="18"/>
        <v>323.99999999999994</v>
      </c>
      <c r="P41" s="504">
        <v>0</v>
      </c>
      <c r="Q41" s="504">
        <f>+P41*O41</f>
        <v>0</v>
      </c>
      <c r="R41" s="504">
        <f t="shared" si="20"/>
        <v>0</v>
      </c>
      <c r="S41" s="504">
        <f>+Q41*0.25</f>
        <v>0</v>
      </c>
      <c r="T41" s="504">
        <f>+Q41*0.05</f>
        <v>0</v>
      </c>
      <c r="U41" s="504">
        <f t="shared" si="11"/>
        <v>0</v>
      </c>
      <c r="V41" s="504">
        <f t="shared" si="19"/>
        <v>0</v>
      </c>
      <c r="W41" s="504" t="s">
        <v>1061</v>
      </c>
    </row>
    <row r="42" spans="1:23" ht="34.5" customHeight="1">
      <c r="A42" s="503">
        <v>38</v>
      </c>
      <c r="B42" s="502" t="s">
        <v>53</v>
      </c>
      <c r="C42" s="503" t="s">
        <v>60</v>
      </c>
      <c r="D42" s="1430" t="s">
        <v>62</v>
      </c>
      <c r="E42" s="1430"/>
      <c r="F42" s="502" t="s">
        <v>55</v>
      </c>
      <c r="G42" s="504">
        <v>43</v>
      </c>
      <c r="H42" s="504">
        <f t="shared" si="13"/>
        <v>33.07692307692308</v>
      </c>
      <c r="I42" s="504">
        <v>65</v>
      </c>
      <c r="J42" s="504">
        <f t="shared" si="14"/>
        <v>260</v>
      </c>
      <c r="K42" s="504">
        <v>50</v>
      </c>
      <c r="L42" s="504">
        <f t="shared" si="15"/>
        <v>200</v>
      </c>
      <c r="M42" s="504">
        <f t="shared" si="16"/>
        <v>50</v>
      </c>
      <c r="N42" s="504">
        <f t="shared" si="17"/>
        <v>350.99999999999994</v>
      </c>
      <c r="O42" s="504">
        <f t="shared" si="18"/>
        <v>270</v>
      </c>
      <c r="P42" s="504">
        <v>0</v>
      </c>
      <c r="Q42" s="504">
        <f>+P42*O42</f>
        <v>0</v>
      </c>
      <c r="R42" s="504">
        <f t="shared" si="20"/>
        <v>0</v>
      </c>
      <c r="S42" s="504">
        <f>+Q42*0.25</f>
        <v>0</v>
      </c>
      <c r="T42" s="504">
        <f>+Q42*0.05</f>
        <v>0</v>
      </c>
      <c r="U42" s="504">
        <f aca="true" t="shared" si="21" ref="U42:U73">+Q42-SUM(R42:T42)</f>
        <v>0</v>
      </c>
      <c r="V42" s="504">
        <f t="shared" si="19"/>
        <v>0</v>
      </c>
      <c r="W42" s="504" t="s">
        <v>1061</v>
      </c>
    </row>
    <row r="43" spans="1:23" ht="34.5" customHeight="1">
      <c r="A43" s="503">
        <v>39</v>
      </c>
      <c r="B43" s="502" t="s">
        <v>53</v>
      </c>
      <c r="C43" s="503" t="s">
        <v>60</v>
      </c>
      <c r="D43" s="1430" t="s">
        <v>63</v>
      </c>
      <c r="E43" s="1430"/>
      <c r="F43" s="502" t="s">
        <v>55</v>
      </c>
      <c r="G43" s="504">
        <v>25</v>
      </c>
      <c r="H43" s="504">
        <f t="shared" si="13"/>
        <v>22.727272727272727</v>
      </c>
      <c r="I43" s="504">
        <v>33</v>
      </c>
      <c r="J43" s="504">
        <f t="shared" si="14"/>
        <v>132</v>
      </c>
      <c r="K43" s="504">
        <v>30</v>
      </c>
      <c r="L43" s="504">
        <f t="shared" si="15"/>
        <v>120</v>
      </c>
      <c r="M43" s="504">
        <f t="shared" si="16"/>
        <v>30</v>
      </c>
      <c r="N43" s="504">
        <f t="shared" si="17"/>
        <v>178.2</v>
      </c>
      <c r="O43" s="504">
        <f t="shared" si="18"/>
        <v>161.99999999999997</v>
      </c>
      <c r="P43" s="504">
        <v>0</v>
      </c>
      <c r="Q43" s="504">
        <f>+P43*O43</f>
        <v>0</v>
      </c>
      <c r="R43" s="504">
        <f t="shared" si="20"/>
        <v>0</v>
      </c>
      <c r="S43" s="504">
        <f>+Q43*0.25</f>
        <v>0</v>
      </c>
      <c r="T43" s="504">
        <f>+Q43*0.05</f>
        <v>0</v>
      </c>
      <c r="U43" s="504">
        <f t="shared" si="21"/>
        <v>0</v>
      </c>
      <c r="V43" s="504">
        <f t="shared" si="19"/>
        <v>0</v>
      </c>
      <c r="W43" s="504" t="s">
        <v>1061</v>
      </c>
    </row>
    <row r="44" spans="1:23" ht="34.5" customHeight="1">
      <c r="A44" s="503">
        <v>40</v>
      </c>
      <c r="B44" s="502" t="s">
        <v>53</v>
      </c>
      <c r="C44" s="503" t="s">
        <v>60</v>
      </c>
      <c r="D44" s="1430" t="s">
        <v>64</v>
      </c>
      <c r="E44" s="1430"/>
      <c r="F44" s="502" t="s">
        <v>55</v>
      </c>
      <c r="G44" s="504">
        <v>164</v>
      </c>
      <c r="H44" s="504">
        <f t="shared" si="13"/>
        <v>84.1025641025641</v>
      </c>
      <c r="I44" s="504">
        <v>195</v>
      </c>
      <c r="J44" s="504">
        <f t="shared" si="14"/>
        <v>780</v>
      </c>
      <c r="K44" s="504">
        <v>100</v>
      </c>
      <c r="L44" s="504">
        <f t="shared" si="15"/>
        <v>400</v>
      </c>
      <c r="M44" s="504">
        <f t="shared" si="16"/>
        <v>100</v>
      </c>
      <c r="N44" s="504">
        <f t="shared" si="17"/>
        <v>1053</v>
      </c>
      <c r="O44" s="504">
        <f t="shared" si="18"/>
        <v>540</v>
      </c>
      <c r="P44" s="504" t="s">
        <v>65</v>
      </c>
      <c r="Q44" s="504">
        <f>15000*K44</f>
        <v>1500000</v>
      </c>
      <c r="R44" s="504">
        <f t="shared" si="20"/>
        <v>975000</v>
      </c>
      <c r="S44" s="504">
        <v>0</v>
      </c>
      <c r="T44" s="504">
        <v>0</v>
      </c>
      <c r="U44" s="504">
        <f t="shared" si="21"/>
        <v>525000</v>
      </c>
      <c r="V44" s="504">
        <f t="shared" si="19"/>
        <v>1500000</v>
      </c>
      <c r="W44" s="504" t="s">
        <v>66</v>
      </c>
    </row>
    <row r="45" spans="1:23" ht="34.5" customHeight="1">
      <c r="A45" s="503">
        <v>41</v>
      </c>
      <c r="B45" s="502" t="s">
        <v>53</v>
      </c>
      <c r="C45" s="503" t="s">
        <v>67</v>
      </c>
      <c r="D45" s="1430" t="s">
        <v>68</v>
      </c>
      <c r="E45" s="1430"/>
      <c r="F45" s="502" t="s">
        <v>55</v>
      </c>
      <c r="G45" s="504">
        <v>27</v>
      </c>
      <c r="H45" s="504">
        <f t="shared" si="13"/>
        <v>6.044776119402985</v>
      </c>
      <c r="I45" s="504">
        <v>67</v>
      </c>
      <c r="J45" s="504">
        <f t="shared" si="14"/>
        <v>268</v>
      </c>
      <c r="K45" s="504">
        <v>15</v>
      </c>
      <c r="L45" s="504">
        <f t="shared" si="15"/>
        <v>60</v>
      </c>
      <c r="M45" s="504">
        <f t="shared" si="16"/>
        <v>15</v>
      </c>
      <c r="N45" s="504">
        <f t="shared" si="17"/>
        <v>361.79999999999995</v>
      </c>
      <c r="O45" s="504">
        <f t="shared" si="18"/>
        <v>80.99999999999999</v>
      </c>
      <c r="P45" s="504" t="s">
        <v>69</v>
      </c>
      <c r="Q45" s="504">
        <f>2000*K45</f>
        <v>30000</v>
      </c>
      <c r="R45" s="504">
        <f t="shared" si="20"/>
        <v>19500</v>
      </c>
      <c r="S45" s="504">
        <v>0</v>
      </c>
      <c r="T45" s="504">
        <v>0</v>
      </c>
      <c r="U45" s="504">
        <f t="shared" si="21"/>
        <v>10500</v>
      </c>
      <c r="V45" s="504">
        <f t="shared" si="19"/>
        <v>30000</v>
      </c>
      <c r="W45" s="504" t="s">
        <v>1061</v>
      </c>
    </row>
    <row r="46" spans="1:23" ht="34.5" customHeight="1">
      <c r="A46" s="503">
        <v>42</v>
      </c>
      <c r="B46" s="502" t="s">
        <v>53</v>
      </c>
      <c r="C46" s="503" t="s">
        <v>67</v>
      </c>
      <c r="D46" s="1430" t="s">
        <v>70</v>
      </c>
      <c r="E46" s="1430"/>
      <c r="F46" s="502" t="s">
        <v>55</v>
      </c>
      <c r="G46" s="504">
        <v>27</v>
      </c>
      <c r="H46" s="504">
        <f t="shared" si="13"/>
        <v>25.41176470588235</v>
      </c>
      <c r="I46" s="504">
        <v>68</v>
      </c>
      <c r="J46" s="504">
        <f t="shared" si="14"/>
        <v>272</v>
      </c>
      <c r="K46" s="504">
        <v>64</v>
      </c>
      <c r="L46" s="504">
        <f t="shared" si="15"/>
        <v>256</v>
      </c>
      <c r="M46" s="504">
        <f t="shared" si="16"/>
        <v>64</v>
      </c>
      <c r="N46" s="504">
        <f t="shared" si="17"/>
        <v>367.2</v>
      </c>
      <c r="O46" s="504">
        <f t="shared" si="18"/>
        <v>345.59999999999997</v>
      </c>
      <c r="P46" s="504">
        <v>500</v>
      </c>
      <c r="Q46" s="504">
        <f aca="true" t="shared" si="22" ref="Q46:Q72">+P46*O46</f>
        <v>172799.99999999997</v>
      </c>
      <c r="R46" s="504">
        <f t="shared" si="20"/>
        <v>112319.99999999999</v>
      </c>
      <c r="S46" s="504">
        <v>0</v>
      </c>
      <c r="T46" s="504">
        <v>0</v>
      </c>
      <c r="U46" s="504">
        <f t="shared" si="21"/>
        <v>60479.999999999985</v>
      </c>
      <c r="V46" s="504">
        <f t="shared" si="19"/>
        <v>172799.99999999997</v>
      </c>
      <c r="W46" s="504" t="s">
        <v>1061</v>
      </c>
    </row>
    <row r="47" spans="1:23" ht="34.5" customHeight="1">
      <c r="A47" s="503">
        <v>43</v>
      </c>
      <c r="B47" s="502" t="s">
        <v>53</v>
      </c>
      <c r="C47" s="503" t="s">
        <v>67</v>
      </c>
      <c r="D47" s="1430" t="s">
        <v>71</v>
      </c>
      <c r="E47" s="1430"/>
      <c r="F47" s="502" t="s">
        <v>55</v>
      </c>
      <c r="G47" s="504">
        <v>32</v>
      </c>
      <c r="H47" s="504">
        <f t="shared" si="13"/>
        <v>23.132530120481928</v>
      </c>
      <c r="I47" s="504">
        <v>83</v>
      </c>
      <c r="J47" s="504">
        <f t="shared" si="14"/>
        <v>332</v>
      </c>
      <c r="K47" s="504">
        <v>60</v>
      </c>
      <c r="L47" s="504">
        <f t="shared" si="15"/>
        <v>240</v>
      </c>
      <c r="M47" s="504">
        <f t="shared" si="16"/>
        <v>60</v>
      </c>
      <c r="N47" s="504">
        <f t="shared" si="17"/>
        <v>448.19999999999993</v>
      </c>
      <c r="O47" s="504">
        <f t="shared" si="18"/>
        <v>323.99999999999994</v>
      </c>
      <c r="P47" s="504">
        <v>0</v>
      </c>
      <c r="Q47" s="504">
        <f t="shared" si="22"/>
        <v>0</v>
      </c>
      <c r="R47" s="504">
        <f t="shared" si="20"/>
        <v>0</v>
      </c>
      <c r="S47" s="504">
        <f aca="true" t="shared" si="23" ref="S47:S71">+Q47*0.25</f>
        <v>0</v>
      </c>
      <c r="T47" s="504">
        <f aca="true" t="shared" si="24" ref="T47:T71">+Q47*0.05</f>
        <v>0</v>
      </c>
      <c r="U47" s="504">
        <f t="shared" si="21"/>
        <v>0</v>
      </c>
      <c r="V47" s="504">
        <f t="shared" si="19"/>
        <v>0</v>
      </c>
      <c r="W47" s="504" t="s">
        <v>1061</v>
      </c>
    </row>
    <row r="48" spans="1:23" ht="34.5" customHeight="1">
      <c r="A48" s="503">
        <v>44</v>
      </c>
      <c r="B48" s="502" t="s">
        <v>53</v>
      </c>
      <c r="C48" s="503" t="s">
        <v>1126</v>
      </c>
      <c r="D48" s="1430" t="s">
        <v>72</v>
      </c>
      <c r="E48" s="1430"/>
      <c r="F48" s="502" t="s">
        <v>55</v>
      </c>
      <c r="G48" s="504">
        <v>57</v>
      </c>
      <c r="H48" s="504">
        <f t="shared" si="13"/>
        <v>11.958041958041958</v>
      </c>
      <c r="I48" s="504">
        <v>143</v>
      </c>
      <c r="J48" s="504">
        <f t="shared" si="14"/>
        <v>572</v>
      </c>
      <c r="K48" s="504">
        <v>30</v>
      </c>
      <c r="L48" s="504">
        <f t="shared" si="15"/>
        <v>120</v>
      </c>
      <c r="M48" s="504">
        <f t="shared" si="16"/>
        <v>30</v>
      </c>
      <c r="N48" s="504">
        <f t="shared" si="17"/>
        <v>772.1999999999999</v>
      </c>
      <c r="O48" s="504">
        <f t="shared" si="18"/>
        <v>161.99999999999997</v>
      </c>
      <c r="P48" s="504">
        <v>0</v>
      </c>
      <c r="Q48" s="504">
        <f t="shared" si="22"/>
        <v>0</v>
      </c>
      <c r="R48" s="504">
        <f t="shared" si="20"/>
        <v>0</v>
      </c>
      <c r="S48" s="504">
        <f t="shared" si="23"/>
        <v>0</v>
      </c>
      <c r="T48" s="504">
        <f t="shared" si="24"/>
        <v>0</v>
      </c>
      <c r="U48" s="504">
        <f t="shared" si="21"/>
        <v>0</v>
      </c>
      <c r="V48" s="504">
        <f t="shared" si="19"/>
        <v>0</v>
      </c>
      <c r="W48" s="504" t="s">
        <v>1061</v>
      </c>
    </row>
    <row r="49" spans="1:23" ht="34.5" customHeight="1">
      <c r="A49" s="503">
        <v>45</v>
      </c>
      <c r="B49" s="502" t="s">
        <v>53</v>
      </c>
      <c r="C49" s="503" t="s">
        <v>1126</v>
      </c>
      <c r="D49" s="1430" t="s">
        <v>73</v>
      </c>
      <c r="E49" s="1430"/>
      <c r="F49" s="502" t="s">
        <v>14</v>
      </c>
      <c r="G49" s="504">
        <v>182</v>
      </c>
      <c r="H49" s="504">
        <f t="shared" si="13"/>
        <v>131.4828897338403</v>
      </c>
      <c r="I49" s="504">
        <v>263</v>
      </c>
      <c r="J49" s="504">
        <f t="shared" si="14"/>
        <v>1052</v>
      </c>
      <c r="K49" s="504">
        <v>190</v>
      </c>
      <c r="L49" s="504">
        <f t="shared" si="15"/>
        <v>760</v>
      </c>
      <c r="M49" s="504">
        <f t="shared" si="16"/>
        <v>190</v>
      </c>
      <c r="N49" s="504">
        <f t="shared" si="17"/>
        <v>1420.1999999999998</v>
      </c>
      <c r="O49" s="504">
        <f t="shared" si="18"/>
        <v>1026</v>
      </c>
      <c r="P49" s="504">
        <v>5000</v>
      </c>
      <c r="Q49" s="504">
        <f t="shared" si="22"/>
        <v>5130000</v>
      </c>
      <c r="R49" s="504">
        <f t="shared" si="20"/>
        <v>3334500</v>
      </c>
      <c r="S49" s="504">
        <f t="shared" si="23"/>
        <v>1282500</v>
      </c>
      <c r="T49" s="504">
        <f t="shared" si="24"/>
        <v>256500</v>
      </c>
      <c r="U49" s="504">
        <f t="shared" si="21"/>
        <v>256500</v>
      </c>
      <c r="V49" s="504">
        <f t="shared" si="19"/>
        <v>5130000</v>
      </c>
      <c r="W49" s="504" t="s">
        <v>74</v>
      </c>
    </row>
    <row r="50" spans="1:23" ht="34.5" customHeight="1">
      <c r="A50" s="503">
        <v>46</v>
      </c>
      <c r="B50" s="502" t="s">
        <v>53</v>
      </c>
      <c r="C50" s="503" t="s">
        <v>1126</v>
      </c>
      <c r="D50" s="1430" t="s">
        <v>75</v>
      </c>
      <c r="E50" s="1430"/>
      <c r="F50" s="502" t="s">
        <v>55</v>
      </c>
      <c r="G50" s="504">
        <v>18</v>
      </c>
      <c r="H50" s="504">
        <f t="shared" si="13"/>
        <v>10.607142857142858</v>
      </c>
      <c r="I50" s="504">
        <v>56</v>
      </c>
      <c r="J50" s="504">
        <f t="shared" si="14"/>
        <v>224</v>
      </c>
      <c r="K50" s="504">
        <v>33</v>
      </c>
      <c r="L50" s="504">
        <f t="shared" si="15"/>
        <v>132</v>
      </c>
      <c r="M50" s="504">
        <f t="shared" si="16"/>
        <v>33</v>
      </c>
      <c r="N50" s="504">
        <f t="shared" si="17"/>
        <v>302.4</v>
      </c>
      <c r="O50" s="504">
        <f t="shared" si="18"/>
        <v>178.2</v>
      </c>
      <c r="P50" s="504">
        <v>0</v>
      </c>
      <c r="Q50" s="504">
        <f t="shared" si="22"/>
        <v>0</v>
      </c>
      <c r="R50" s="504">
        <f t="shared" si="20"/>
        <v>0</v>
      </c>
      <c r="S50" s="504">
        <f t="shared" si="23"/>
        <v>0</v>
      </c>
      <c r="T50" s="504">
        <f t="shared" si="24"/>
        <v>0</v>
      </c>
      <c r="U50" s="504">
        <f t="shared" si="21"/>
        <v>0</v>
      </c>
      <c r="V50" s="504">
        <f t="shared" si="19"/>
        <v>0</v>
      </c>
      <c r="W50" s="504" t="s">
        <v>1061</v>
      </c>
    </row>
    <row r="51" spans="1:23" ht="34.5" customHeight="1">
      <c r="A51" s="503">
        <v>47</v>
      </c>
      <c r="B51" s="502" t="s">
        <v>53</v>
      </c>
      <c r="C51" s="503" t="s">
        <v>210</v>
      </c>
      <c r="D51" s="1430" t="s">
        <v>76</v>
      </c>
      <c r="E51" s="1430"/>
      <c r="F51" s="502" t="s">
        <v>55</v>
      </c>
      <c r="G51" s="504">
        <v>850</v>
      </c>
      <c r="H51" s="504">
        <f t="shared" si="13"/>
        <v>425</v>
      </c>
      <c r="I51" s="504">
        <v>3000</v>
      </c>
      <c r="J51" s="504">
        <f t="shared" si="14"/>
        <v>12000</v>
      </c>
      <c r="K51" s="504">
        <v>1500</v>
      </c>
      <c r="L51" s="504">
        <f t="shared" si="15"/>
        <v>6000</v>
      </c>
      <c r="M51" s="504">
        <f t="shared" si="16"/>
        <v>1500</v>
      </c>
      <c r="N51" s="504">
        <f t="shared" si="17"/>
        <v>16199.999999999998</v>
      </c>
      <c r="O51" s="504">
        <f t="shared" si="18"/>
        <v>8099.999999999999</v>
      </c>
      <c r="P51" s="504">
        <v>5000</v>
      </c>
      <c r="Q51" s="504">
        <f t="shared" si="22"/>
        <v>40499999.99999999</v>
      </c>
      <c r="R51" s="504">
        <f t="shared" si="20"/>
        <v>26324999.999999996</v>
      </c>
      <c r="S51" s="504">
        <f t="shared" si="23"/>
        <v>10124999.999999998</v>
      </c>
      <c r="T51" s="504">
        <f t="shared" si="24"/>
        <v>2024999.9999999998</v>
      </c>
      <c r="U51" s="504">
        <f t="shared" si="21"/>
        <v>2025000</v>
      </c>
      <c r="V51" s="504">
        <f t="shared" si="19"/>
        <v>40499999.99999999</v>
      </c>
      <c r="W51" s="504" t="s">
        <v>36</v>
      </c>
    </row>
    <row r="52" spans="1:23" ht="34.5" customHeight="1">
      <c r="A52" s="503">
        <v>48</v>
      </c>
      <c r="B52" s="502" t="s">
        <v>53</v>
      </c>
      <c r="C52" s="503" t="s">
        <v>210</v>
      </c>
      <c r="D52" s="1430" t="s">
        <v>77</v>
      </c>
      <c r="E52" s="1430"/>
      <c r="F52" s="502" t="s">
        <v>55</v>
      </c>
      <c r="G52" s="504">
        <v>24</v>
      </c>
      <c r="H52" s="504">
        <f t="shared" si="13"/>
        <v>6</v>
      </c>
      <c r="I52" s="504">
        <v>60</v>
      </c>
      <c r="J52" s="504">
        <f t="shared" si="14"/>
        <v>240</v>
      </c>
      <c r="K52" s="504">
        <v>15</v>
      </c>
      <c r="L52" s="504">
        <f t="shared" si="15"/>
        <v>60</v>
      </c>
      <c r="M52" s="504">
        <f t="shared" si="16"/>
        <v>15</v>
      </c>
      <c r="N52" s="504">
        <f t="shared" si="17"/>
        <v>323.99999999999994</v>
      </c>
      <c r="O52" s="504">
        <f t="shared" si="18"/>
        <v>80.99999999999999</v>
      </c>
      <c r="P52" s="504">
        <v>0</v>
      </c>
      <c r="Q52" s="504">
        <f t="shared" si="22"/>
        <v>0</v>
      </c>
      <c r="R52" s="504">
        <f t="shared" si="20"/>
        <v>0</v>
      </c>
      <c r="S52" s="504">
        <f t="shared" si="23"/>
        <v>0</v>
      </c>
      <c r="T52" s="504">
        <f t="shared" si="24"/>
        <v>0</v>
      </c>
      <c r="U52" s="504">
        <f t="shared" si="21"/>
        <v>0</v>
      </c>
      <c r="V52" s="504">
        <f t="shared" si="19"/>
        <v>0</v>
      </c>
      <c r="W52" s="504" t="s">
        <v>74</v>
      </c>
    </row>
    <row r="53" spans="1:23" ht="34.5" customHeight="1">
      <c r="A53" s="503">
        <v>49</v>
      </c>
      <c r="B53" s="502" t="s">
        <v>53</v>
      </c>
      <c r="C53" s="503" t="s">
        <v>78</v>
      </c>
      <c r="D53" s="1430" t="s">
        <v>79</v>
      </c>
      <c r="E53" s="1430"/>
      <c r="F53" s="502" t="s">
        <v>55</v>
      </c>
      <c r="G53" s="504">
        <v>36</v>
      </c>
      <c r="H53" s="504">
        <f t="shared" si="13"/>
        <v>18.4</v>
      </c>
      <c r="I53" s="504">
        <v>90</v>
      </c>
      <c r="J53" s="504">
        <f t="shared" si="14"/>
        <v>360</v>
      </c>
      <c r="K53" s="504">
        <v>46</v>
      </c>
      <c r="L53" s="504">
        <f t="shared" si="15"/>
        <v>184</v>
      </c>
      <c r="M53" s="504">
        <f t="shared" si="16"/>
        <v>46</v>
      </c>
      <c r="N53" s="504">
        <f t="shared" si="17"/>
        <v>485.99999999999994</v>
      </c>
      <c r="O53" s="504">
        <f t="shared" si="18"/>
        <v>248.39999999999998</v>
      </c>
      <c r="P53" s="504">
        <v>0</v>
      </c>
      <c r="Q53" s="504">
        <f t="shared" si="22"/>
        <v>0</v>
      </c>
      <c r="R53" s="504">
        <f t="shared" si="20"/>
        <v>0</v>
      </c>
      <c r="S53" s="504">
        <f t="shared" si="23"/>
        <v>0</v>
      </c>
      <c r="T53" s="504">
        <f t="shared" si="24"/>
        <v>0</v>
      </c>
      <c r="U53" s="504">
        <f t="shared" si="21"/>
        <v>0</v>
      </c>
      <c r="V53" s="504">
        <f t="shared" si="19"/>
        <v>0</v>
      </c>
      <c r="W53" s="504" t="s">
        <v>1061</v>
      </c>
    </row>
    <row r="54" spans="1:23" ht="34.5" customHeight="1">
      <c r="A54" s="503">
        <v>50</v>
      </c>
      <c r="B54" s="502" t="s">
        <v>53</v>
      </c>
      <c r="C54" s="503" t="s">
        <v>80</v>
      </c>
      <c r="D54" s="1430" t="s">
        <v>81</v>
      </c>
      <c r="E54" s="1430"/>
      <c r="F54" s="502" t="s">
        <v>55</v>
      </c>
      <c r="G54" s="504">
        <v>110</v>
      </c>
      <c r="H54" s="504">
        <f t="shared" si="13"/>
        <v>10</v>
      </c>
      <c r="I54" s="504">
        <v>220</v>
      </c>
      <c r="J54" s="504">
        <f t="shared" si="14"/>
        <v>880</v>
      </c>
      <c r="K54" s="504">
        <v>20</v>
      </c>
      <c r="L54" s="504">
        <f t="shared" si="15"/>
        <v>80</v>
      </c>
      <c r="M54" s="504">
        <f t="shared" si="16"/>
        <v>20</v>
      </c>
      <c r="N54" s="504">
        <f t="shared" si="17"/>
        <v>1187.9999999999998</v>
      </c>
      <c r="O54" s="504">
        <f t="shared" si="18"/>
        <v>107.99999999999999</v>
      </c>
      <c r="P54" s="504">
        <v>0</v>
      </c>
      <c r="Q54" s="504">
        <f t="shared" si="22"/>
        <v>0</v>
      </c>
      <c r="R54" s="504">
        <f t="shared" si="20"/>
        <v>0</v>
      </c>
      <c r="S54" s="504">
        <f t="shared" si="23"/>
        <v>0</v>
      </c>
      <c r="T54" s="504">
        <f t="shared" si="24"/>
        <v>0</v>
      </c>
      <c r="U54" s="504">
        <f t="shared" si="21"/>
        <v>0</v>
      </c>
      <c r="V54" s="504">
        <f t="shared" si="19"/>
        <v>0</v>
      </c>
      <c r="W54" s="504" t="s">
        <v>74</v>
      </c>
    </row>
    <row r="55" spans="1:23" ht="34.5" customHeight="1">
      <c r="A55" s="503">
        <v>51</v>
      </c>
      <c r="B55" s="502" t="s">
        <v>53</v>
      </c>
      <c r="C55" s="503" t="s">
        <v>82</v>
      </c>
      <c r="D55" s="1430" t="s">
        <v>83</v>
      </c>
      <c r="E55" s="1430"/>
      <c r="F55" s="502" t="s">
        <v>55</v>
      </c>
      <c r="G55" s="504">
        <v>70</v>
      </c>
      <c r="H55" s="504">
        <f t="shared" si="13"/>
        <v>2.413793103448276</v>
      </c>
      <c r="I55" s="504">
        <v>116</v>
      </c>
      <c r="J55" s="504">
        <f t="shared" si="14"/>
        <v>464</v>
      </c>
      <c r="K55" s="504">
        <v>4</v>
      </c>
      <c r="L55" s="504">
        <f t="shared" si="15"/>
        <v>16</v>
      </c>
      <c r="M55" s="504">
        <f t="shared" si="16"/>
        <v>4</v>
      </c>
      <c r="N55" s="504">
        <f t="shared" si="17"/>
        <v>626.4</v>
      </c>
      <c r="O55" s="504">
        <f t="shared" si="18"/>
        <v>21.599999999999998</v>
      </c>
      <c r="P55" s="504">
        <v>0</v>
      </c>
      <c r="Q55" s="504">
        <f t="shared" si="22"/>
        <v>0</v>
      </c>
      <c r="R55" s="504">
        <f t="shared" si="20"/>
        <v>0</v>
      </c>
      <c r="S55" s="504">
        <f t="shared" si="23"/>
        <v>0</v>
      </c>
      <c r="T55" s="504">
        <f t="shared" si="24"/>
        <v>0</v>
      </c>
      <c r="U55" s="504">
        <f t="shared" si="21"/>
        <v>0</v>
      </c>
      <c r="V55" s="504">
        <f t="shared" si="19"/>
        <v>0</v>
      </c>
      <c r="W55" s="504" t="s">
        <v>1061</v>
      </c>
    </row>
    <row r="56" spans="1:23" ht="34.5" customHeight="1">
      <c r="A56" s="503">
        <v>52</v>
      </c>
      <c r="B56" s="502" t="s">
        <v>53</v>
      </c>
      <c r="C56" s="503" t="s">
        <v>84</v>
      </c>
      <c r="D56" s="1430" t="s">
        <v>85</v>
      </c>
      <c r="E56" s="1430"/>
      <c r="F56" s="502" t="s">
        <v>55</v>
      </c>
      <c r="G56" s="504">
        <v>17</v>
      </c>
      <c r="H56" s="504">
        <f t="shared" si="13"/>
        <v>3.477272727272727</v>
      </c>
      <c r="I56" s="504">
        <v>44</v>
      </c>
      <c r="J56" s="504">
        <f t="shared" si="14"/>
        <v>176</v>
      </c>
      <c r="K56" s="504">
        <v>9</v>
      </c>
      <c r="L56" s="504">
        <f t="shared" si="15"/>
        <v>36</v>
      </c>
      <c r="M56" s="504">
        <f t="shared" si="16"/>
        <v>9</v>
      </c>
      <c r="N56" s="504">
        <f t="shared" si="17"/>
        <v>237.59999999999997</v>
      </c>
      <c r="O56" s="504">
        <f t="shared" si="18"/>
        <v>48.599999999999994</v>
      </c>
      <c r="P56" s="504">
        <v>0</v>
      </c>
      <c r="Q56" s="504">
        <f t="shared" si="22"/>
        <v>0</v>
      </c>
      <c r="R56" s="504">
        <f t="shared" si="20"/>
        <v>0</v>
      </c>
      <c r="S56" s="504">
        <f t="shared" si="23"/>
        <v>0</v>
      </c>
      <c r="T56" s="504">
        <f t="shared" si="24"/>
        <v>0</v>
      </c>
      <c r="U56" s="504">
        <f t="shared" si="21"/>
        <v>0</v>
      </c>
      <c r="V56" s="504">
        <f t="shared" si="19"/>
        <v>0</v>
      </c>
      <c r="W56" s="504" t="s">
        <v>1061</v>
      </c>
    </row>
    <row r="57" spans="1:23" ht="34.5" customHeight="1">
      <c r="A57" s="503">
        <v>53</v>
      </c>
      <c r="B57" s="502" t="s">
        <v>53</v>
      </c>
      <c r="C57" s="503" t="s">
        <v>86</v>
      </c>
      <c r="D57" s="1430" t="s">
        <v>87</v>
      </c>
      <c r="E57" s="1430"/>
      <c r="F57" s="502" t="s">
        <v>55</v>
      </c>
      <c r="G57" s="504">
        <v>36</v>
      </c>
      <c r="H57" s="504">
        <f t="shared" si="13"/>
        <v>36</v>
      </c>
      <c r="I57" s="504">
        <v>90</v>
      </c>
      <c r="J57" s="504">
        <f t="shared" si="14"/>
        <v>360</v>
      </c>
      <c r="K57" s="504">
        <v>90</v>
      </c>
      <c r="L57" s="504">
        <f t="shared" si="15"/>
        <v>360</v>
      </c>
      <c r="M57" s="504">
        <f t="shared" si="16"/>
        <v>90</v>
      </c>
      <c r="N57" s="504">
        <f t="shared" si="17"/>
        <v>485.99999999999994</v>
      </c>
      <c r="O57" s="504">
        <f t="shared" si="18"/>
        <v>485.99999999999994</v>
      </c>
      <c r="P57" s="504">
        <v>0</v>
      </c>
      <c r="Q57" s="504">
        <f t="shared" si="22"/>
        <v>0</v>
      </c>
      <c r="R57" s="504">
        <f t="shared" si="20"/>
        <v>0</v>
      </c>
      <c r="S57" s="504">
        <f t="shared" si="23"/>
        <v>0</v>
      </c>
      <c r="T57" s="504">
        <f t="shared" si="24"/>
        <v>0</v>
      </c>
      <c r="U57" s="504">
        <f t="shared" si="21"/>
        <v>0</v>
      </c>
      <c r="V57" s="504">
        <f t="shared" si="19"/>
        <v>0</v>
      </c>
      <c r="W57" s="504" t="s">
        <v>1061</v>
      </c>
    </row>
    <row r="58" spans="1:23" ht="34.5" customHeight="1">
      <c r="A58" s="503">
        <v>54</v>
      </c>
      <c r="B58" s="502" t="s">
        <v>53</v>
      </c>
      <c r="C58" s="503" t="s">
        <v>88</v>
      </c>
      <c r="D58" s="1430" t="s">
        <v>89</v>
      </c>
      <c r="E58" s="1430"/>
      <c r="F58" s="502" t="s">
        <v>55</v>
      </c>
      <c r="G58" s="504">
        <v>115</v>
      </c>
      <c r="H58" s="504">
        <f t="shared" si="13"/>
        <v>118.38235294117646</v>
      </c>
      <c r="I58" s="504">
        <v>204</v>
      </c>
      <c r="J58" s="504">
        <f t="shared" si="14"/>
        <v>816</v>
      </c>
      <c r="K58" s="504">
        <v>210</v>
      </c>
      <c r="L58" s="504">
        <f t="shared" si="15"/>
        <v>840</v>
      </c>
      <c r="M58" s="504">
        <f t="shared" si="16"/>
        <v>210</v>
      </c>
      <c r="N58" s="504">
        <f t="shared" si="17"/>
        <v>1101.6</v>
      </c>
      <c r="O58" s="504">
        <f t="shared" si="18"/>
        <v>1134</v>
      </c>
      <c r="P58" s="504">
        <v>1200</v>
      </c>
      <c r="Q58" s="504">
        <f t="shared" si="22"/>
        <v>1360800</v>
      </c>
      <c r="R58" s="504">
        <f t="shared" si="20"/>
        <v>884520</v>
      </c>
      <c r="S58" s="504">
        <f t="shared" si="23"/>
        <v>340200</v>
      </c>
      <c r="T58" s="504">
        <f t="shared" si="24"/>
        <v>68040</v>
      </c>
      <c r="U58" s="504">
        <f t="shared" si="21"/>
        <v>68040</v>
      </c>
      <c r="V58" s="504">
        <f t="shared" si="19"/>
        <v>1360800</v>
      </c>
      <c r="W58" s="504" t="s">
        <v>1061</v>
      </c>
    </row>
    <row r="59" spans="1:23" ht="34.5" customHeight="1">
      <c r="A59" s="503">
        <v>55</v>
      </c>
      <c r="B59" s="502" t="s">
        <v>53</v>
      </c>
      <c r="C59" s="503" t="s">
        <v>90</v>
      </c>
      <c r="D59" s="1430" t="s">
        <v>91</v>
      </c>
      <c r="E59" s="1430"/>
      <c r="F59" s="502" t="s">
        <v>55</v>
      </c>
      <c r="G59" s="504">
        <v>52</v>
      </c>
      <c r="H59" s="504">
        <f t="shared" si="13"/>
        <v>29.42105263157895</v>
      </c>
      <c r="I59" s="504">
        <v>76</v>
      </c>
      <c r="J59" s="504">
        <f t="shared" si="14"/>
        <v>304</v>
      </c>
      <c r="K59" s="504">
        <v>43</v>
      </c>
      <c r="L59" s="504">
        <f t="shared" si="15"/>
        <v>172</v>
      </c>
      <c r="M59" s="504">
        <f t="shared" si="16"/>
        <v>43</v>
      </c>
      <c r="N59" s="504">
        <f t="shared" si="17"/>
        <v>410.4</v>
      </c>
      <c r="O59" s="504">
        <f t="shared" si="18"/>
        <v>232.2</v>
      </c>
      <c r="P59" s="504">
        <v>0</v>
      </c>
      <c r="Q59" s="504">
        <f t="shared" si="22"/>
        <v>0</v>
      </c>
      <c r="R59" s="504">
        <f t="shared" si="20"/>
        <v>0</v>
      </c>
      <c r="S59" s="504">
        <f t="shared" si="23"/>
        <v>0</v>
      </c>
      <c r="T59" s="504">
        <f t="shared" si="24"/>
        <v>0</v>
      </c>
      <c r="U59" s="504">
        <f t="shared" si="21"/>
        <v>0</v>
      </c>
      <c r="V59" s="504">
        <f t="shared" si="19"/>
        <v>0</v>
      </c>
      <c r="W59" s="504" t="s">
        <v>1061</v>
      </c>
    </row>
    <row r="60" spans="1:23" ht="34.5" customHeight="1">
      <c r="A60" s="503">
        <v>56</v>
      </c>
      <c r="B60" s="502" t="s">
        <v>53</v>
      </c>
      <c r="C60" s="503" t="s">
        <v>90</v>
      </c>
      <c r="D60" s="1430" t="s">
        <v>92</v>
      </c>
      <c r="E60" s="1430"/>
      <c r="F60" s="502" t="s">
        <v>55</v>
      </c>
      <c r="G60" s="504">
        <v>60</v>
      </c>
      <c r="H60" s="504">
        <f t="shared" si="13"/>
        <v>26.08695652173913</v>
      </c>
      <c r="I60" s="504">
        <v>69</v>
      </c>
      <c r="J60" s="504">
        <f t="shared" si="14"/>
        <v>276</v>
      </c>
      <c r="K60" s="504">
        <v>30</v>
      </c>
      <c r="L60" s="504">
        <f t="shared" si="15"/>
        <v>120</v>
      </c>
      <c r="M60" s="504">
        <f t="shared" si="16"/>
        <v>30</v>
      </c>
      <c r="N60" s="504">
        <f t="shared" si="17"/>
        <v>372.59999999999997</v>
      </c>
      <c r="O60" s="504">
        <f t="shared" si="18"/>
        <v>161.99999999999997</v>
      </c>
      <c r="P60" s="504">
        <v>0</v>
      </c>
      <c r="Q60" s="504">
        <f t="shared" si="22"/>
        <v>0</v>
      </c>
      <c r="R60" s="504">
        <f t="shared" si="20"/>
        <v>0</v>
      </c>
      <c r="S60" s="504">
        <f t="shared" si="23"/>
        <v>0</v>
      </c>
      <c r="T60" s="504">
        <f t="shared" si="24"/>
        <v>0</v>
      </c>
      <c r="U60" s="504">
        <f t="shared" si="21"/>
        <v>0</v>
      </c>
      <c r="V60" s="504">
        <f t="shared" si="19"/>
        <v>0</v>
      </c>
      <c r="W60" s="504" t="s">
        <v>1061</v>
      </c>
    </row>
    <row r="61" spans="1:23" ht="34.5" customHeight="1">
      <c r="A61" s="503">
        <v>57</v>
      </c>
      <c r="B61" s="502" t="s">
        <v>53</v>
      </c>
      <c r="C61" s="503" t="s">
        <v>90</v>
      </c>
      <c r="D61" s="1430" t="s">
        <v>93</v>
      </c>
      <c r="E61" s="1430"/>
      <c r="F61" s="502" t="s">
        <v>55</v>
      </c>
      <c r="G61" s="504">
        <v>37</v>
      </c>
      <c r="H61" s="504">
        <f t="shared" si="13"/>
        <v>24.433962264150942</v>
      </c>
      <c r="I61" s="504">
        <v>53</v>
      </c>
      <c r="J61" s="504">
        <f t="shared" si="14"/>
        <v>212</v>
      </c>
      <c r="K61" s="504">
        <v>35</v>
      </c>
      <c r="L61" s="504">
        <f t="shared" si="15"/>
        <v>140</v>
      </c>
      <c r="M61" s="504">
        <f t="shared" si="16"/>
        <v>35</v>
      </c>
      <c r="N61" s="504">
        <f t="shared" si="17"/>
        <v>286.2</v>
      </c>
      <c r="O61" s="504">
        <f t="shared" si="18"/>
        <v>188.99999999999997</v>
      </c>
      <c r="P61" s="504">
        <v>0</v>
      </c>
      <c r="Q61" s="504">
        <f t="shared" si="22"/>
        <v>0</v>
      </c>
      <c r="R61" s="504">
        <f t="shared" si="20"/>
        <v>0</v>
      </c>
      <c r="S61" s="504">
        <f t="shared" si="23"/>
        <v>0</v>
      </c>
      <c r="T61" s="504">
        <f t="shared" si="24"/>
        <v>0</v>
      </c>
      <c r="U61" s="504">
        <f t="shared" si="21"/>
        <v>0</v>
      </c>
      <c r="V61" s="504">
        <f t="shared" si="19"/>
        <v>0</v>
      </c>
      <c r="W61" s="504" t="s">
        <v>1061</v>
      </c>
    </row>
    <row r="62" spans="1:23" ht="34.5" customHeight="1">
      <c r="A62" s="503">
        <v>58</v>
      </c>
      <c r="B62" s="502" t="s">
        <v>53</v>
      </c>
      <c r="C62" s="503" t="s">
        <v>90</v>
      </c>
      <c r="D62" s="1430" t="s">
        <v>94</v>
      </c>
      <c r="E62" s="1430"/>
      <c r="F62" s="502" t="s">
        <v>55</v>
      </c>
      <c r="G62" s="504"/>
      <c r="H62" s="504">
        <f t="shared" si="13"/>
        <v>0</v>
      </c>
      <c r="I62" s="504">
        <v>57</v>
      </c>
      <c r="J62" s="504">
        <f t="shared" si="14"/>
        <v>228</v>
      </c>
      <c r="K62" s="504">
        <v>16</v>
      </c>
      <c r="L62" s="504">
        <f t="shared" si="15"/>
        <v>64</v>
      </c>
      <c r="M62" s="504">
        <f t="shared" si="16"/>
        <v>16</v>
      </c>
      <c r="N62" s="504">
        <f t="shared" si="17"/>
        <v>307.79999999999995</v>
      </c>
      <c r="O62" s="504">
        <f t="shared" si="18"/>
        <v>86.39999999999999</v>
      </c>
      <c r="P62" s="504">
        <v>0</v>
      </c>
      <c r="Q62" s="504">
        <f t="shared" si="22"/>
        <v>0</v>
      </c>
      <c r="R62" s="504">
        <f t="shared" si="20"/>
        <v>0</v>
      </c>
      <c r="S62" s="504">
        <f t="shared" si="23"/>
        <v>0</v>
      </c>
      <c r="T62" s="504">
        <f t="shared" si="24"/>
        <v>0</v>
      </c>
      <c r="U62" s="504">
        <f t="shared" si="21"/>
        <v>0</v>
      </c>
      <c r="V62" s="504">
        <f t="shared" si="19"/>
        <v>0</v>
      </c>
      <c r="W62" s="504" t="s">
        <v>1061</v>
      </c>
    </row>
    <row r="63" spans="1:23" ht="34.5" customHeight="1">
      <c r="A63" s="503">
        <v>59</v>
      </c>
      <c r="B63" s="502" t="s">
        <v>53</v>
      </c>
      <c r="C63" s="503" t="s">
        <v>95</v>
      </c>
      <c r="D63" s="1430" t="s">
        <v>96</v>
      </c>
      <c r="E63" s="1430"/>
      <c r="F63" s="502" t="s">
        <v>55</v>
      </c>
      <c r="G63" s="504">
        <v>33</v>
      </c>
      <c r="H63" s="504">
        <f t="shared" si="13"/>
        <v>19.879518072289155</v>
      </c>
      <c r="I63" s="504">
        <v>83</v>
      </c>
      <c r="J63" s="504">
        <f t="shared" si="14"/>
        <v>332</v>
      </c>
      <c r="K63" s="504">
        <v>50</v>
      </c>
      <c r="L63" s="504">
        <f t="shared" si="15"/>
        <v>200</v>
      </c>
      <c r="M63" s="504">
        <f t="shared" si="16"/>
        <v>50</v>
      </c>
      <c r="N63" s="504">
        <f t="shared" si="17"/>
        <v>448.19999999999993</v>
      </c>
      <c r="O63" s="504">
        <f t="shared" si="18"/>
        <v>270</v>
      </c>
      <c r="P63" s="504">
        <v>0</v>
      </c>
      <c r="Q63" s="504">
        <f t="shared" si="22"/>
        <v>0</v>
      </c>
      <c r="R63" s="504">
        <f t="shared" si="20"/>
        <v>0</v>
      </c>
      <c r="S63" s="504">
        <f t="shared" si="23"/>
        <v>0</v>
      </c>
      <c r="T63" s="504">
        <f t="shared" si="24"/>
        <v>0</v>
      </c>
      <c r="U63" s="504">
        <f t="shared" si="21"/>
        <v>0</v>
      </c>
      <c r="V63" s="504">
        <f t="shared" si="19"/>
        <v>0</v>
      </c>
      <c r="W63" s="504" t="s">
        <v>1061</v>
      </c>
    </row>
    <row r="64" spans="1:23" ht="34.5" customHeight="1">
      <c r="A64" s="503">
        <v>60</v>
      </c>
      <c r="B64" s="502" t="s">
        <v>97</v>
      </c>
      <c r="C64" s="503" t="s">
        <v>1129</v>
      </c>
      <c r="D64" s="1430" t="s">
        <v>98</v>
      </c>
      <c r="E64" s="1430"/>
      <c r="F64" s="502" t="s">
        <v>14</v>
      </c>
      <c r="G64" s="504">
        <v>580</v>
      </c>
      <c r="H64" s="504">
        <f t="shared" si="13"/>
        <v>95.93984962406014</v>
      </c>
      <c r="I64" s="504">
        <v>1330</v>
      </c>
      <c r="J64" s="504">
        <f>+I64*4</f>
        <v>5320</v>
      </c>
      <c r="K64" s="504">
        <v>220</v>
      </c>
      <c r="L64" s="504">
        <f t="shared" si="15"/>
        <v>880</v>
      </c>
      <c r="M64" s="504">
        <f t="shared" si="16"/>
        <v>220</v>
      </c>
      <c r="N64" s="504">
        <f t="shared" si="17"/>
        <v>7181.999999999999</v>
      </c>
      <c r="O64" s="504">
        <f t="shared" si="18"/>
        <v>1187.9999999999998</v>
      </c>
      <c r="P64" s="504">
        <v>4000</v>
      </c>
      <c r="Q64" s="504">
        <f t="shared" si="22"/>
        <v>4751999.999999999</v>
      </c>
      <c r="R64" s="504">
        <f t="shared" si="20"/>
        <v>3088799.9999999995</v>
      </c>
      <c r="S64" s="504">
        <f t="shared" si="23"/>
        <v>1187999.9999999998</v>
      </c>
      <c r="T64" s="504">
        <f t="shared" si="24"/>
        <v>237599.99999999997</v>
      </c>
      <c r="U64" s="504">
        <f t="shared" si="21"/>
        <v>237600</v>
      </c>
      <c r="V64" s="504">
        <f t="shared" si="19"/>
        <v>4751999.999999999</v>
      </c>
      <c r="W64" s="504" t="s">
        <v>41</v>
      </c>
    </row>
    <row r="65" spans="1:23" ht="34.5" customHeight="1">
      <c r="A65" s="503">
        <v>61</v>
      </c>
      <c r="B65" s="502" t="s">
        <v>97</v>
      </c>
      <c r="C65" s="503" t="s">
        <v>430</v>
      </c>
      <c r="D65" s="1430" t="s">
        <v>99</v>
      </c>
      <c r="E65" s="1430"/>
      <c r="F65" s="502" t="s">
        <v>12</v>
      </c>
      <c r="G65" s="504">
        <v>10000</v>
      </c>
      <c r="H65" s="504">
        <f t="shared" si="13"/>
        <v>5550</v>
      </c>
      <c r="I65" s="504">
        <v>5000</v>
      </c>
      <c r="J65" s="504">
        <f>+I65*4</f>
        <v>20000</v>
      </c>
      <c r="K65" s="504">
        <v>2775</v>
      </c>
      <c r="L65" s="504">
        <f t="shared" si="15"/>
        <v>11100</v>
      </c>
      <c r="M65" s="504">
        <f t="shared" si="16"/>
        <v>2775</v>
      </c>
      <c r="N65" s="504">
        <f t="shared" si="17"/>
        <v>26999.999999999996</v>
      </c>
      <c r="O65" s="504">
        <f t="shared" si="18"/>
        <v>14984.999999999998</v>
      </c>
      <c r="P65" s="504">
        <v>6100</v>
      </c>
      <c r="Q65" s="504">
        <f t="shared" si="22"/>
        <v>91408499.99999999</v>
      </c>
      <c r="R65" s="504">
        <f t="shared" si="20"/>
        <v>59415524.99999999</v>
      </c>
      <c r="S65" s="504">
        <f t="shared" si="23"/>
        <v>22852124.999999996</v>
      </c>
      <c r="T65" s="504">
        <f t="shared" si="24"/>
        <v>4570424.999999999</v>
      </c>
      <c r="U65" s="504">
        <f t="shared" si="21"/>
        <v>4570425</v>
      </c>
      <c r="V65" s="504">
        <f t="shared" si="19"/>
        <v>91408499.99999999</v>
      </c>
      <c r="W65" s="504" t="s">
        <v>13</v>
      </c>
    </row>
    <row r="66" spans="1:23" ht="34.5" customHeight="1">
      <c r="A66" s="503">
        <v>62</v>
      </c>
      <c r="B66" s="502" t="s">
        <v>97</v>
      </c>
      <c r="C66" s="503" t="s">
        <v>100</v>
      </c>
      <c r="D66" s="1430" t="s">
        <v>101</v>
      </c>
      <c r="E66" s="1430"/>
      <c r="F66" s="502" t="s">
        <v>29</v>
      </c>
      <c r="G66" s="504"/>
      <c r="H66" s="504"/>
      <c r="I66" s="504">
        <v>0</v>
      </c>
      <c r="J66" s="504">
        <f>+I66*4</f>
        <v>0</v>
      </c>
      <c r="K66" s="504">
        <v>66</v>
      </c>
      <c r="L66" s="504">
        <f t="shared" si="15"/>
        <v>264</v>
      </c>
      <c r="M66" s="504">
        <f t="shared" si="16"/>
        <v>66</v>
      </c>
      <c r="N66" s="504">
        <f t="shared" si="17"/>
        <v>0</v>
      </c>
      <c r="O66" s="504">
        <f t="shared" si="18"/>
        <v>356.4</v>
      </c>
      <c r="P66" s="504">
        <v>5000</v>
      </c>
      <c r="Q66" s="504">
        <f t="shared" si="22"/>
        <v>1782000</v>
      </c>
      <c r="R66" s="504">
        <f t="shared" si="20"/>
        <v>1158300</v>
      </c>
      <c r="S66" s="504">
        <f t="shared" si="23"/>
        <v>445500</v>
      </c>
      <c r="T66" s="504">
        <f t="shared" si="24"/>
        <v>89100</v>
      </c>
      <c r="U66" s="504">
        <f t="shared" si="21"/>
        <v>89100</v>
      </c>
      <c r="V66" s="504">
        <f t="shared" si="19"/>
        <v>1782000</v>
      </c>
      <c r="W66" s="504" t="s">
        <v>1061</v>
      </c>
    </row>
    <row r="67" spans="1:23" ht="34.5" customHeight="1">
      <c r="A67" s="503">
        <v>63</v>
      </c>
      <c r="B67" s="502" t="s">
        <v>102</v>
      </c>
      <c r="C67" s="503" t="s">
        <v>1133</v>
      </c>
      <c r="D67" s="1430" t="s">
        <v>103</v>
      </c>
      <c r="E67" s="1430"/>
      <c r="F67" s="502" t="s">
        <v>55</v>
      </c>
      <c r="G67" s="504">
        <v>41</v>
      </c>
      <c r="H67" s="504">
        <f aca="true" t="shared" si="25" ref="H67:H96">+G67*L67/J67</f>
        <v>17.9126213592233</v>
      </c>
      <c r="I67" s="504">
        <v>103</v>
      </c>
      <c r="J67" s="504">
        <f t="shared" si="14"/>
        <v>412</v>
      </c>
      <c r="K67" s="504">
        <v>45</v>
      </c>
      <c r="L67" s="504">
        <f t="shared" si="15"/>
        <v>180</v>
      </c>
      <c r="M67" s="504">
        <f t="shared" si="16"/>
        <v>45</v>
      </c>
      <c r="N67" s="504">
        <f t="shared" si="17"/>
        <v>556.1999999999999</v>
      </c>
      <c r="O67" s="504">
        <f t="shared" si="18"/>
        <v>242.99999999999997</v>
      </c>
      <c r="P67" s="504">
        <v>0</v>
      </c>
      <c r="Q67" s="504">
        <f t="shared" si="22"/>
        <v>0</v>
      </c>
      <c r="R67" s="504">
        <f t="shared" si="20"/>
        <v>0</v>
      </c>
      <c r="S67" s="504">
        <f t="shared" si="23"/>
        <v>0</v>
      </c>
      <c r="T67" s="504">
        <f t="shared" si="24"/>
        <v>0</v>
      </c>
      <c r="U67" s="504">
        <f t="shared" si="21"/>
        <v>0</v>
      </c>
      <c r="V67" s="504">
        <f t="shared" si="19"/>
        <v>0</v>
      </c>
      <c r="W67" s="504" t="s">
        <v>1061</v>
      </c>
    </row>
    <row r="68" spans="1:23" ht="34.5" customHeight="1">
      <c r="A68" s="503">
        <v>64</v>
      </c>
      <c r="B68" s="502" t="s">
        <v>102</v>
      </c>
      <c r="C68" s="503" t="s">
        <v>104</v>
      </c>
      <c r="D68" s="1430" t="s">
        <v>105</v>
      </c>
      <c r="E68" s="1430"/>
      <c r="F68" s="502" t="s">
        <v>55</v>
      </c>
      <c r="G68" s="504">
        <v>12</v>
      </c>
      <c r="H68" s="504">
        <f t="shared" si="25"/>
        <v>12</v>
      </c>
      <c r="I68" s="504">
        <v>29</v>
      </c>
      <c r="J68" s="504">
        <f t="shared" si="14"/>
        <v>116</v>
      </c>
      <c r="K68" s="504">
        <v>29</v>
      </c>
      <c r="L68" s="504">
        <f t="shared" si="15"/>
        <v>116</v>
      </c>
      <c r="M68" s="504">
        <f t="shared" si="16"/>
        <v>29</v>
      </c>
      <c r="N68" s="504">
        <f t="shared" si="17"/>
        <v>156.6</v>
      </c>
      <c r="O68" s="504">
        <f t="shared" si="18"/>
        <v>156.6</v>
      </c>
      <c r="P68" s="504">
        <v>0</v>
      </c>
      <c r="Q68" s="504">
        <f t="shared" si="22"/>
        <v>0</v>
      </c>
      <c r="R68" s="504">
        <f t="shared" si="20"/>
        <v>0</v>
      </c>
      <c r="S68" s="504">
        <f t="shared" si="23"/>
        <v>0</v>
      </c>
      <c r="T68" s="504">
        <f t="shared" si="24"/>
        <v>0</v>
      </c>
      <c r="U68" s="504">
        <f t="shared" si="21"/>
        <v>0</v>
      </c>
      <c r="V68" s="504">
        <f t="shared" si="19"/>
        <v>0</v>
      </c>
      <c r="W68" s="504" t="s">
        <v>1061</v>
      </c>
    </row>
    <row r="69" spans="1:23" ht="34.5" customHeight="1">
      <c r="A69" s="503">
        <v>65</v>
      </c>
      <c r="B69" s="502" t="s">
        <v>102</v>
      </c>
      <c r="C69" s="503" t="s">
        <v>106</v>
      </c>
      <c r="D69" s="1430" t="s">
        <v>107</v>
      </c>
      <c r="E69" s="1430"/>
      <c r="F69" s="502" t="s">
        <v>55</v>
      </c>
      <c r="G69" s="504">
        <v>40</v>
      </c>
      <c r="H69" s="504">
        <f t="shared" si="25"/>
        <v>10</v>
      </c>
      <c r="I69" s="504">
        <v>100</v>
      </c>
      <c r="J69" s="504">
        <f aca="true" t="shared" si="26" ref="J69:J100">+I69*4</f>
        <v>400</v>
      </c>
      <c r="K69" s="504">
        <v>25</v>
      </c>
      <c r="L69" s="504">
        <f aca="true" t="shared" si="27" ref="L69:L100">+K69*4</f>
        <v>100</v>
      </c>
      <c r="M69" s="504">
        <f aca="true" t="shared" si="28" ref="M69:M100">+K69</f>
        <v>25</v>
      </c>
      <c r="N69" s="504">
        <f aca="true" t="shared" si="29" ref="N69:N100">45*0.001*30*J69</f>
        <v>540</v>
      </c>
      <c r="O69" s="504">
        <f aca="true" t="shared" si="30" ref="O69:O100">45*0.001*30*L69</f>
        <v>135</v>
      </c>
      <c r="P69" s="504">
        <v>0</v>
      </c>
      <c r="Q69" s="504">
        <f t="shared" si="22"/>
        <v>0</v>
      </c>
      <c r="R69" s="504">
        <f t="shared" si="20"/>
        <v>0</v>
      </c>
      <c r="S69" s="504">
        <f t="shared" si="23"/>
        <v>0</v>
      </c>
      <c r="T69" s="504">
        <f t="shared" si="24"/>
        <v>0</v>
      </c>
      <c r="U69" s="504">
        <f t="shared" si="21"/>
        <v>0</v>
      </c>
      <c r="V69" s="504">
        <f aca="true" t="shared" si="31" ref="V69:V100">+SUM(R69:U69)</f>
        <v>0</v>
      </c>
      <c r="W69" s="504" t="s">
        <v>1061</v>
      </c>
    </row>
    <row r="70" spans="1:23" ht="34.5" customHeight="1">
      <c r="A70" s="503">
        <v>66</v>
      </c>
      <c r="B70" s="502" t="s">
        <v>102</v>
      </c>
      <c r="C70" s="503" t="s">
        <v>106</v>
      </c>
      <c r="D70" s="1430" t="s">
        <v>108</v>
      </c>
      <c r="E70" s="1430"/>
      <c r="F70" s="502" t="s">
        <v>55</v>
      </c>
      <c r="G70" s="504">
        <v>38</v>
      </c>
      <c r="H70" s="504">
        <f t="shared" si="25"/>
        <v>19.791666666666668</v>
      </c>
      <c r="I70" s="504">
        <v>96</v>
      </c>
      <c r="J70" s="504">
        <f t="shared" si="26"/>
        <v>384</v>
      </c>
      <c r="K70" s="504">
        <v>50</v>
      </c>
      <c r="L70" s="504">
        <f t="shared" si="27"/>
        <v>200</v>
      </c>
      <c r="M70" s="504">
        <f t="shared" si="28"/>
        <v>50</v>
      </c>
      <c r="N70" s="504">
        <f t="shared" si="29"/>
        <v>518.4</v>
      </c>
      <c r="O70" s="504">
        <f t="shared" si="30"/>
        <v>270</v>
      </c>
      <c r="P70" s="504">
        <v>0</v>
      </c>
      <c r="Q70" s="504">
        <f t="shared" si="22"/>
        <v>0</v>
      </c>
      <c r="R70" s="504">
        <f t="shared" si="20"/>
        <v>0</v>
      </c>
      <c r="S70" s="504">
        <f t="shared" si="23"/>
        <v>0</v>
      </c>
      <c r="T70" s="504">
        <f t="shared" si="24"/>
        <v>0</v>
      </c>
      <c r="U70" s="504">
        <f t="shared" si="21"/>
        <v>0</v>
      </c>
      <c r="V70" s="504">
        <f t="shared" si="31"/>
        <v>0</v>
      </c>
      <c r="W70" s="504" t="s">
        <v>1061</v>
      </c>
    </row>
    <row r="71" spans="1:23" ht="34.5" customHeight="1">
      <c r="A71" s="503">
        <v>67</v>
      </c>
      <c r="B71" s="502" t="s">
        <v>102</v>
      </c>
      <c r="C71" s="503" t="s">
        <v>1139</v>
      </c>
      <c r="D71" s="1430" t="s">
        <v>109</v>
      </c>
      <c r="E71" s="1430"/>
      <c r="F71" s="502" t="s">
        <v>55</v>
      </c>
      <c r="G71" s="504">
        <v>29</v>
      </c>
      <c r="H71" s="504">
        <f t="shared" si="25"/>
        <v>3.9726027397260273</v>
      </c>
      <c r="I71" s="504">
        <v>73</v>
      </c>
      <c r="J71" s="504">
        <f t="shared" si="26"/>
        <v>292</v>
      </c>
      <c r="K71" s="504">
        <v>10</v>
      </c>
      <c r="L71" s="504">
        <f t="shared" si="27"/>
        <v>40</v>
      </c>
      <c r="M71" s="504">
        <f t="shared" si="28"/>
        <v>10</v>
      </c>
      <c r="N71" s="504">
        <f t="shared" si="29"/>
        <v>394.2</v>
      </c>
      <c r="O71" s="504">
        <f t="shared" si="30"/>
        <v>53.99999999999999</v>
      </c>
      <c r="P71" s="504">
        <v>0</v>
      </c>
      <c r="Q71" s="504">
        <f t="shared" si="22"/>
        <v>0</v>
      </c>
      <c r="R71" s="504">
        <f aca="true" t="shared" si="32" ref="R71:R102">+Q71*0.65</f>
        <v>0</v>
      </c>
      <c r="S71" s="504">
        <f t="shared" si="23"/>
        <v>0</v>
      </c>
      <c r="T71" s="504">
        <f t="shared" si="24"/>
        <v>0</v>
      </c>
      <c r="U71" s="504">
        <f t="shared" si="21"/>
        <v>0</v>
      </c>
      <c r="V71" s="504">
        <f t="shared" si="31"/>
        <v>0</v>
      </c>
      <c r="W71" s="504" t="s">
        <v>1061</v>
      </c>
    </row>
    <row r="72" spans="1:23" ht="34.5" customHeight="1">
      <c r="A72" s="503">
        <v>68</v>
      </c>
      <c r="B72" s="502" t="s">
        <v>102</v>
      </c>
      <c r="C72" s="503" t="s">
        <v>110</v>
      </c>
      <c r="D72" s="1430" t="s">
        <v>111</v>
      </c>
      <c r="E72" s="1430"/>
      <c r="F72" s="502" t="s">
        <v>55</v>
      </c>
      <c r="G72" s="504">
        <v>34</v>
      </c>
      <c r="H72" s="504">
        <f t="shared" si="25"/>
        <v>24.57831325301205</v>
      </c>
      <c r="I72" s="504">
        <v>83</v>
      </c>
      <c r="J72" s="504">
        <f t="shared" si="26"/>
        <v>332</v>
      </c>
      <c r="K72" s="504">
        <v>60</v>
      </c>
      <c r="L72" s="504">
        <f t="shared" si="27"/>
        <v>240</v>
      </c>
      <c r="M72" s="504">
        <f t="shared" si="28"/>
        <v>60</v>
      </c>
      <c r="N72" s="504">
        <f t="shared" si="29"/>
        <v>448.19999999999993</v>
      </c>
      <c r="O72" s="504">
        <f t="shared" si="30"/>
        <v>323.99999999999994</v>
      </c>
      <c r="P72" s="504">
        <v>300</v>
      </c>
      <c r="Q72" s="504">
        <f t="shared" si="22"/>
        <v>97199.99999999999</v>
      </c>
      <c r="R72" s="504">
        <f t="shared" si="32"/>
        <v>63179.99999999999</v>
      </c>
      <c r="S72" s="504">
        <v>0</v>
      </c>
      <c r="T72" s="504">
        <v>0</v>
      </c>
      <c r="U72" s="504">
        <f t="shared" si="21"/>
        <v>34019.99999999999</v>
      </c>
      <c r="V72" s="504">
        <f t="shared" si="31"/>
        <v>97199.99999999999</v>
      </c>
      <c r="W72" s="504" t="s">
        <v>1061</v>
      </c>
    </row>
    <row r="73" spans="1:23" ht="34.5" customHeight="1">
      <c r="A73" s="503">
        <v>69</v>
      </c>
      <c r="B73" s="502" t="s">
        <v>102</v>
      </c>
      <c r="C73" s="503" t="s">
        <v>110</v>
      </c>
      <c r="D73" s="1430" t="s">
        <v>112</v>
      </c>
      <c r="E73" s="1430"/>
      <c r="F73" s="502" t="s">
        <v>55</v>
      </c>
      <c r="G73" s="504">
        <v>56</v>
      </c>
      <c r="H73" s="504">
        <f t="shared" si="25"/>
        <v>52.093023255813954</v>
      </c>
      <c r="I73" s="504">
        <v>86</v>
      </c>
      <c r="J73" s="504">
        <f t="shared" si="26"/>
        <v>344</v>
      </c>
      <c r="K73" s="504">
        <v>80</v>
      </c>
      <c r="L73" s="504">
        <f t="shared" si="27"/>
        <v>320</v>
      </c>
      <c r="M73" s="504">
        <f t="shared" si="28"/>
        <v>80</v>
      </c>
      <c r="N73" s="504">
        <f t="shared" si="29"/>
        <v>464.4</v>
      </c>
      <c r="O73" s="504">
        <f t="shared" si="30"/>
        <v>431.99999999999994</v>
      </c>
      <c r="P73" s="504" t="s">
        <v>113</v>
      </c>
      <c r="Q73" s="504">
        <f>8000*K73</f>
        <v>640000</v>
      </c>
      <c r="R73" s="504">
        <f t="shared" si="32"/>
        <v>416000</v>
      </c>
      <c r="S73" s="504">
        <v>0</v>
      </c>
      <c r="T73" s="504">
        <v>0</v>
      </c>
      <c r="U73" s="504">
        <f t="shared" si="21"/>
        <v>224000</v>
      </c>
      <c r="V73" s="504">
        <f t="shared" si="31"/>
        <v>640000</v>
      </c>
      <c r="W73" s="504" t="s">
        <v>1061</v>
      </c>
    </row>
    <row r="74" spans="1:23" ht="34.5" customHeight="1">
      <c r="A74" s="503">
        <v>70</v>
      </c>
      <c r="B74" s="502" t="s">
        <v>102</v>
      </c>
      <c r="C74" s="503" t="s">
        <v>110</v>
      </c>
      <c r="D74" s="1430" t="s">
        <v>114</v>
      </c>
      <c r="E74" s="1430"/>
      <c r="F74" s="502" t="s">
        <v>55</v>
      </c>
      <c r="G74" s="504">
        <v>55</v>
      </c>
      <c r="H74" s="504">
        <f t="shared" si="25"/>
        <v>60.78947368421053</v>
      </c>
      <c r="I74" s="504">
        <v>76</v>
      </c>
      <c r="J74" s="504">
        <f t="shared" si="26"/>
        <v>304</v>
      </c>
      <c r="K74" s="504">
        <v>84</v>
      </c>
      <c r="L74" s="504">
        <f t="shared" si="27"/>
        <v>336</v>
      </c>
      <c r="M74" s="504">
        <f t="shared" si="28"/>
        <v>84</v>
      </c>
      <c r="N74" s="504">
        <f t="shared" si="29"/>
        <v>410.4</v>
      </c>
      <c r="O74" s="504">
        <f t="shared" si="30"/>
        <v>453.59999999999997</v>
      </c>
      <c r="P74" s="504">
        <v>500</v>
      </c>
      <c r="Q74" s="504">
        <f>+P74*O74</f>
        <v>226799.99999999997</v>
      </c>
      <c r="R74" s="504">
        <f t="shared" si="32"/>
        <v>147420</v>
      </c>
      <c r="S74" s="504">
        <v>0</v>
      </c>
      <c r="T74" s="504">
        <v>0</v>
      </c>
      <c r="U74" s="504">
        <f aca="true" t="shared" si="33" ref="U74:U105">+Q74-SUM(R74:T74)</f>
        <v>79379.99999999997</v>
      </c>
      <c r="V74" s="504">
        <f t="shared" si="31"/>
        <v>226799.99999999997</v>
      </c>
      <c r="W74" s="504" t="s">
        <v>1061</v>
      </c>
    </row>
    <row r="75" spans="1:23" ht="34.5" customHeight="1">
      <c r="A75" s="503">
        <v>71</v>
      </c>
      <c r="B75" s="502" t="s">
        <v>102</v>
      </c>
      <c r="C75" s="503" t="s">
        <v>110</v>
      </c>
      <c r="D75" s="1430" t="s">
        <v>115</v>
      </c>
      <c r="E75" s="1430"/>
      <c r="F75" s="502" t="s">
        <v>55</v>
      </c>
      <c r="G75" s="504">
        <v>74</v>
      </c>
      <c r="H75" s="504">
        <f t="shared" si="25"/>
        <v>78.06593406593407</v>
      </c>
      <c r="I75" s="504">
        <v>91</v>
      </c>
      <c r="J75" s="504">
        <f t="shared" si="26"/>
        <v>364</v>
      </c>
      <c r="K75" s="504">
        <v>96</v>
      </c>
      <c r="L75" s="504">
        <f t="shared" si="27"/>
        <v>384</v>
      </c>
      <c r="M75" s="504">
        <f t="shared" si="28"/>
        <v>96</v>
      </c>
      <c r="N75" s="504">
        <f t="shared" si="29"/>
        <v>491.4</v>
      </c>
      <c r="O75" s="504">
        <f t="shared" si="30"/>
        <v>518.4</v>
      </c>
      <c r="P75" s="504">
        <v>1000</v>
      </c>
      <c r="Q75" s="504">
        <f>+P75*O75</f>
        <v>518400</v>
      </c>
      <c r="R75" s="504">
        <f t="shared" si="32"/>
        <v>336960</v>
      </c>
      <c r="S75" s="504">
        <v>0</v>
      </c>
      <c r="T75" s="504">
        <v>0</v>
      </c>
      <c r="U75" s="504">
        <f t="shared" si="33"/>
        <v>181440</v>
      </c>
      <c r="V75" s="504">
        <f t="shared" si="31"/>
        <v>518400</v>
      </c>
      <c r="W75" s="504" t="s">
        <v>1061</v>
      </c>
    </row>
    <row r="76" spans="1:23" ht="34.5" customHeight="1">
      <c r="A76" s="503">
        <v>72</v>
      </c>
      <c r="B76" s="502" t="s">
        <v>102</v>
      </c>
      <c r="C76" s="503" t="s">
        <v>110</v>
      </c>
      <c r="D76" s="1430" t="s">
        <v>116</v>
      </c>
      <c r="E76" s="1430"/>
      <c r="F76" s="502" t="s">
        <v>55</v>
      </c>
      <c r="G76" s="504">
        <v>54</v>
      </c>
      <c r="H76" s="504">
        <f t="shared" si="25"/>
        <v>92.57142857142857</v>
      </c>
      <c r="I76" s="504">
        <v>56</v>
      </c>
      <c r="J76" s="504">
        <f t="shared" si="26"/>
        <v>224</v>
      </c>
      <c r="K76" s="504">
        <v>96</v>
      </c>
      <c r="L76" s="504">
        <f t="shared" si="27"/>
        <v>384</v>
      </c>
      <c r="M76" s="504">
        <f t="shared" si="28"/>
        <v>96</v>
      </c>
      <c r="N76" s="504">
        <f t="shared" si="29"/>
        <v>302.4</v>
      </c>
      <c r="O76" s="504">
        <f t="shared" si="30"/>
        <v>518.4</v>
      </c>
      <c r="P76" s="504">
        <v>1000</v>
      </c>
      <c r="Q76" s="504">
        <f>+P76*O76</f>
        <v>518400</v>
      </c>
      <c r="R76" s="504">
        <f t="shared" si="32"/>
        <v>336960</v>
      </c>
      <c r="S76" s="504">
        <v>0</v>
      </c>
      <c r="T76" s="504">
        <v>0</v>
      </c>
      <c r="U76" s="504">
        <f t="shared" si="33"/>
        <v>181440</v>
      </c>
      <c r="V76" s="504">
        <f t="shared" si="31"/>
        <v>518400</v>
      </c>
      <c r="W76" s="504" t="s">
        <v>1061</v>
      </c>
    </row>
    <row r="77" spans="1:23" ht="34.5" customHeight="1">
      <c r="A77" s="503">
        <v>73</v>
      </c>
      <c r="B77" s="502" t="s">
        <v>102</v>
      </c>
      <c r="C77" s="503" t="s">
        <v>110</v>
      </c>
      <c r="D77" s="1430" t="s">
        <v>117</v>
      </c>
      <c r="E77" s="1430"/>
      <c r="F77" s="502" t="s">
        <v>55</v>
      </c>
      <c r="G77" s="504">
        <v>33</v>
      </c>
      <c r="H77" s="504">
        <f t="shared" si="25"/>
        <v>7.951807228915663</v>
      </c>
      <c r="I77" s="504">
        <v>83</v>
      </c>
      <c r="J77" s="504">
        <f t="shared" si="26"/>
        <v>332</v>
      </c>
      <c r="K77" s="504">
        <v>20</v>
      </c>
      <c r="L77" s="504">
        <f t="shared" si="27"/>
        <v>80</v>
      </c>
      <c r="M77" s="504">
        <f t="shared" si="28"/>
        <v>20</v>
      </c>
      <c r="N77" s="504">
        <f t="shared" si="29"/>
        <v>448.19999999999993</v>
      </c>
      <c r="O77" s="504">
        <f t="shared" si="30"/>
        <v>107.99999999999999</v>
      </c>
      <c r="P77" s="504">
        <v>400</v>
      </c>
      <c r="Q77" s="504">
        <f>+P77*O77</f>
        <v>43199.99999999999</v>
      </c>
      <c r="R77" s="504">
        <f t="shared" si="32"/>
        <v>28079.999999999996</v>
      </c>
      <c r="S77" s="504">
        <v>0</v>
      </c>
      <c r="T77" s="504">
        <v>0</v>
      </c>
      <c r="U77" s="504">
        <f t="shared" si="33"/>
        <v>15119.999999999996</v>
      </c>
      <c r="V77" s="504">
        <f t="shared" si="31"/>
        <v>43199.99999999999</v>
      </c>
      <c r="W77" s="504" t="s">
        <v>1061</v>
      </c>
    </row>
    <row r="78" spans="1:23" ht="34.5" customHeight="1">
      <c r="A78" s="503">
        <v>74</v>
      </c>
      <c r="B78" s="502" t="s">
        <v>102</v>
      </c>
      <c r="C78" s="503" t="s">
        <v>118</v>
      </c>
      <c r="D78" s="1430" t="s">
        <v>119</v>
      </c>
      <c r="E78" s="1430"/>
      <c r="F78" s="502" t="s">
        <v>55</v>
      </c>
      <c r="G78" s="504">
        <v>36</v>
      </c>
      <c r="H78" s="504">
        <f t="shared" si="25"/>
        <v>72</v>
      </c>
      <c r="I78" s="504">
        <v>90</v>
      </c>
      <c r="J78" s="504">
        <f t="shared" si="26"/>
        <v>360</v>
      </c>
      <c r="K78" s="504">
        <v>180</v>
      </c>
      <c r="L78" s="504">
        <f t="shared" si="27"/>
        <v>720</v>
      </c>
      <c r="M78" s="504">
        <f t="shared" si="28"/>
        <v>180</v>
      </c>
      <c r="N78" s="504">
        <f t="shared" si="29"/>
        <v>485.99999999999994</v>
      </c>
      <c r="O78" s="504">
        <f t="shared" si="30"/>
        <v>971.9999999999999</v>
      </c>
      <c r="P78" s="504" t="s">
        <v>58</v>
      </c>
      <c r="Q78" s="504">
        <f>20000*K78/12</f>
        <v>300000</v>
      </c>
      <c r="R78" s="504">
        <f t="shared" si="32"/>
        <v>195000</v>
      </c>
      <c r="S78" s="504">
        <v>0</v>
      </c>
      <c r="T78" s="504">
        <v>0</v>
      </c>
      <c r="U78" s="504">
        <f t="shared" si="33"/>
        <v>105000</v>
      </c>
      <c r="V78" s="504">
        <f t="shared" si="31"/>
        <v>300000</v>
      </c>
      <c r="W78" s="504" t="s">
        <v>1061</v>
      </c>
    </row>
    <row r="79" spans="1:23" ht="34.5" customHeight="1">
      <c r="A79" s="503">
        <v>75</v>
      </c>
      <c r="B79" s="502" t="s">
        <v>102</v>
      </c>
      <c r="C79" s="503" t="s">
        <v>118</v>
      </c>
      <c r="D79" s="1430" t="s">
        <v>120</v>
      </c>
      <c r="E79" s="1430"/>
      <c r="F79" s="502" t="s">
        <v>55</v>
      </c>
      <c r="G79" s="504">
        <v>115</v>
      </c>
      <c r="H79" s="504">
        <f t="shared" si="25"/>
        <v>166.55172413793105</v>
      </c>
      <c r="I79" s="504">
        <v>290</v>
      </c>
      <c r="J79" s="504">
        <f t="shared" si="26"/>
        <v>1160</v>
      </c>
      <c r="K79" s="504">
        <v>420</v>
      </c>
      <c r="L79" s="504">
        <f t="shared" si="27"/>
        <v>1680</v>
      </c>
      <c r="M79" s="504">
        <f t="shared" si="28"/>
        <v>420</v>
      </c>
      <c r="N79" s="504">
        <f t="shared" si="29"/>
        <v>1565.9999999999998</v>
      </c>
      <c r="O79" s="504">
        <f t="shared" si="30"/>
        <v>2268</v>
      </c>
      <c r="P79" s="504" t="s">
        <v>121</v>
      </c>
      <c r="Q79" s="504">
        <f>70000*K79/12</f>
        <v>2450000</v>
      </c>
      <c r="R79" s="504">
        <f t="shared" si="32"/>
        <v>1592500</v>
      </c>
      <c r="S79" s="504">
        <v>0</v>
      </c>
      <c r="T79" s="504">
        <v>0</v>
      </c>
      <c r="U79" s="504">
        <f t="shared" si="33"/>
        <v>857500</v>
      </c>
      <c r="V79" s="504">
        <f t="shared" si="31"/>
        <v>2450000</v>
      </c>
      <c r="W79" s="504" t="s">
        <v>1061</v>
      </c>
    </row>
    <row r="80" spans="1:23" ht="34.5" customHeight="1">
      <c r="A80" s="503">
        <v>76</v>
      </c>
      <c r="B80" s="502" t="s">
        <v>102</v>
      </c>
      <c r="C80" s="503" t="s">
        <v>118</v>
      </c>
      <c r="D80" s="1430" t="s">
        <v>122</v>
      </c>
      <c r="E80" s="1430"/>
      <c r="F80" s="502" t="s">
        <v>55</v>
      </c>
      <c r="G80" s="504">
        <v>99</v>
      </c>
      <c r="H80" s="504">
        <f t="shared" si="25"/>
        <v>15.84</v>
      </c>
      <c r="I80" s="504">
        <v>250</v>
      </c>
      <c r="J80" s="504">
        <f t="shared" si="26"/>
        <v>1000</v>
      </c>
      <c r="K80" s="504">
        <v>40</v>
      </c>
      <c r="L80" s="504">
        <f t="shared" si="27"/>
        <v>160</v>
      </c>
      <c r="M80" s="504">
        <f t="shared" si="28"/>
        <v>40</v>
      </c>
      <c r="N80" s="504">
        <f t="shared" si="29"/>
        <v>1349.9999999999998</v>
      </c>
      <c r="O80" s="504">
        <f t="shared" si="30"/>
        <v>215.99999999999997</v>
      </c>
      <c r="P80" s="504">
        <v>0</v>
      </c>
      <c r="Q80" s="504">
        <f aca="true" t="shared" si="34" ref="Q80:Q90">+P80*O80</f>
        <v>0</v>
      </c>
      <c r="R80" s="504">
        <f t="shared" si="32"/>
        <v>0</v>
      </c>
      <c r="S80" s="504">
        <f>+Q80*0.25</f>
        <v>0</v>
      </c>
      <c r="T80" s="504">
        <f>+Q80*0.05</f>
        <v>0</v>
      </c>
      <c r="U80" s="504">
        <f t="shared" si="33"/>
        <v>0</v>
      </c>
      <c r="V80" s="504">
        <f t="shared" si="31"/>
        <v>0</v>
      </c>
      <c r="W80" s="504" t="s">
        <v>1061</v>
      </c>
    </row>
    <row r="81" spans="1:23" ht="34.5" customHeight="1">
      <c r="A81" s="503">
        <v>77</v>
      </c>
      <c r="B81" s="502" t="s">
        <v>102</v>
      </c>
      <c r="C81" s="503" t="s">
        <v>118</v>
      </c>
      <c r="D81" s="1430" t="s">
        <v>123</v>
      </c>
      <c r="E81" s="1430"/>
      <c r="F81" s="502" t="s">
        <v>55</v>
      </c>
      <c r="G81" s="504">
        <v>300</v>
      </c>
      <c r="H81" s="504">
        <f t="shared" si="25"/>
        <v>133.33333333333334</v>
      </c>
      <c r="I81" s="504">
        <v>90</v>
      </c>
      <c r="J81" s="504">
        <f t="shared" si="26"/>
        <v>360</v>
      </c>
      <c r="K81" s="504">
        <v>40</v>
      </c>
      <c r="L81" s="504">
        <f t="shared" si="27"/>
        <v>160</v>
      </c>
      <c r="M81" s="504">
        <f t="shared" si="28"/>
        <v>40</v>
      </c>
      <c r="N81" s="504">
        <f t="shared" si="29"/>
        <v>485.99999999999994</v>
      </c>
      <c r="O81" s="504">
        <f t="shared" si="30"/>
        <v>215.99999999999997</v>
      </c>
      <c r="P81" s="504">
        <v>500</v>
      </c>
      <c r="Q81" s="504">
        <f t="shared" si="34"/>
        <v>107999.99999999999</v>
      </c>
      <c r="R81" s="504">
        <f t="shared" si="32"/>
        <v>70200</v>
      </c>
      <c r="S81" s="504">
        <v>0</v>
      </c>
      <c r="T81" s="504">
        <v>0</v>
      </c>
      <c r="U81" s="504">
        <f t="shared" si="33"/>
        <v>37799.999999999985</v>
      </c>
      <c r="V81" s="504">
        <f t="shared" si="31"/>
        <v>107999.99999999999</v>
      </c>
      <c r="W81" s="504" t="s">
        <v>1061</v>
      </c>
    </row>
    <row r="82" spans="1:23" ht="34.5" customHeight="1">
      <c r="A82" s="503">
        <v>78</v>
      </c>
      <c r="B82" s="502" t="s">
        <v>102</v>
      </c>
      <c r="C82" s="503" t="s">
        <v>124</v>
      </c>
      <c r="D82" s="1430" t="s">
        <v>125</v>
      </c>
      <c r="E82" s="1430"/>
      <c r="F82" s="502" t="s">
        <v>55</v>
      </c>
      <c r="G82" s="504">
        <v>18</v>
      </c>
      <c r="H82" s="504">
        <f t="shared" si="25"/>
        <v>4.4</v>
      </c>
      <c r="I82" s="504">
        <v>45</v>
      </c>
      <c r="J82" s="504">
        <f t="shared" si="26"/>
        <v>180</v>
      </c>
      <c r="K82" s="504">
        <v>11</v>
      </c>
      <c r="L82" s="504">
        <f t="shared" si="27"/>
        <v>44</v>
      </c>
      <c r="M82" s="504">
        <f t="shared" si="28"/>
        <v>11</v>
      </c>
      <c r="N82" s="504">
        <f t="shared" si="29"/>
        <v>242.99999999999997</v>
      </c>
      <c r="O82" s="504">
        <f t="shared" si="30"/>
        <v>59.39999999999999</v>
      </c>
      <c r="P82" s="504">
        <v>0</v>
      </c>
      <c r="Q82" s="504">
        <f t="shared" si="34"/>
        <v>0</v>
      </c>
      <c r="R82" s="504">
        <f t="shared" si="32"/>
        <v>0</v>
      </c>
      <c r="S82" s="504">
        <f aca="true" t="shared" si="35" ref="S82:S90">+Q82*0.25</f>
        <v>0</v>
      </c>
      <c r="T82" s="504">
        <f aca="true" t="shared" si="36" ref="T82:T90">+Q82*0.05</f>
        <v>0</v>
      </c>
      <c r="U82" s="504">
        <f t="shared" si="33"/>
        <v>0</v>
      </c>
      <c r="V82" s="504">
        <f t="shared" si="31"/>
        <v>0</v>
      </c>
      <c r="W82" s="504" t="s">
        <v>1061</v>
      </c>
    </row>
    <row r="83" spans="1:23" ht="34.5" customHeight="1">
      <c r="A83" s="503">
        <v>79</v>
      </c>
      <c r="B83" s="502" t="s">
        <v>102</v>
      </c>
      <c r="C83" s="503" t="s">
        <v>124</v>
      </c>
      <c r="D83" s="1430" t="s">
        <v>126</v>
      </c>
      <c r="E83" s="1430"/>
      <c r="F83" s="502" t="s">
        <v>55</v>
      </c>
      <c r="G83" s="504">
        <v>13</v>
      </c>
      <c r="H83" s="504">
        <f t="shared" si="25"/>
        <v>3.65625</v>
      </c>
      <c r="I83" s="504">
        <v>32</v>
      </c>
      <c r="J83" s="504">
        <f t="shared" si="26"/>
        <v>128</v>
      </c>
      <c r="K83" s="504">
        <v>9</v>
      </c>
      <c r="L83" s="504">
        <f t="shared" si="27"/>
        <v>36</v>
      </c>
      <c r="M83" s="504">
        <f t="shared" si="28"/>
        <v>9</v>
      </c>
      <c r="N83" s="504">
        <f t="shared" si="29"/>
        <v>172.79999999999998</v>
      </c>
      <c r="O83" s="504">
        <f t="shared" si="30"/>
        <v>48.599999999999994</v>
      </c>
      <c r="P83" s="504">
        <v>0</v>
      </c>
      <c r="Q83" s="504">
        <f t="shared" si="34"/>
        <v>0</v>
      </c>
      <c r="R83" s="504">
        <f t="shared" si="32"/>
        <v>0</v>
      </c>
      <c r="S83" s="504">
        <f t="shared" si="35"/>
        <v>0</v>
      </c>
      <c r="T83" s="504">
        <f t="shared" si="36"/>
        <v>0</v>
      </c>
      <c r="U83" s="504">
        <f t="shared" si="33"/>
        <v>0</v>
      </c>
      <c r="V83" s="504">
        <f t="shared" si="31"/>
        <v>0</v>
      </c>
      <c r="W83" s="504" t="s">
        <v>1061</v>
      </c>
    </row>
    <row r="84" spans="1:23" ht="34.5" customHeight="1">
      <c r="A84" s="503">
        <v>80</v>
      </c>
      <c r="B84" s="502" t="s">
        <v>102</v>
      </c>
      <c r="C84" s="503" t="s">
        <v>124</v>
      </c>
      <c r="D84" s="1430" t="s">
        <v>127</v>
      </c>
      <c r="E84" s="1430"/>
      <c r="F84" s="502" t="s">
        <v>55</v>
      </c>
      <c r="G84" s="504">
        <v>37</v>
      </c>
      <c r="H84" s="504">
        <f t="shared" si="25"/>
        <v>12.065217391304348</v>
      </c>
      <c r="I84" s="504">
        <v>92</v>
      </c>
      <c r="J84" s="504">
        <f t="shared" si="26"/>
        <v>368</v>
      </c>
      <c r="K84" s="504">
        <v>30</v>
      </c>
      <c r="L84" s="504">
        <f t="shared" si="27"/>
        <v>120</v>
      </c>
      <c r="M84" s="504">
        <f t="shared" si="28"/>
        <v>30</v>
      </c>
      <c r="N84" s="504">
        <f t="shared" si="29"/>
        <v>496.79999999999995</v>
      </c>
      <c r="O84" s="504">
        <f t="shared" si="30"/>
        <v>161.99999999999997</v>
      </c>
      <c r="P84" s="504">
        <v>0</v>
      </c>
      <c r="Q84" s="504">
        <f t="shared" si="34"/>
        <v>0</v>
      </c>
      <c r="R84" s="504">
        <f t="shared" si="32"/>
        <v>0</v>
      </c>
      <c r="S84" s="504">
        <f t="shared" si="35"/>
        <v>0</v>
      </c>
      <c r="T84" s="504">
        <f t="shared" si="36"/>
        <v>0</v>
      </c>
      <c r="U84" s="504">
        <f t="shared" si="33"/>
        <v>0</v>
      </c>
      <c r="V84" s="504">
        <f t="shared" si="31"/>
        <v>0</v>
      </c>
      <c r="W84" s="504" t="s">
        <v>1061</v>
      </c>
    </row>
    <row r="85" spans="1:23" ht="34.5" customHeight="1">
      <c r="A85" s="503">
        <v>81</v>
      </c>
      <c r="B85" s="502" t="s">
        <v>102</v>
      </c>
      <c r="C85" s="503" t="s">
        <v>124</v>
      </c>
      <c r="D85" s="1430" t="s">
        <v>128</v>
      </c>
      <c r="E85" s="1430"/>
      <c r="F85" s="502" t="s">
        <v>55</v>
      </c>
      <c r="G85" s="504">
        <v>19</v>
      </c>
      <c r="H85" s="504">
        <f t="shared" si="25"/>
        <v>7.125</v>
      </c>
      <c r="I85" s="504">
        <v>40</v>
      </c>
      <c r="J85" s="504">
        <f t="shared" si="26"/>
        <v>160</v>
      </c>
      <c r="K85" s="504">
        <v>15</v>
      </c>
      <c r="L85" s="504">
        <f t="shared" si="27"/>
        <v>60</v>
      </c>
      <c r="M85" s="504">
        <f t="shared" si="28"/>
        <v>15</v>
      </c>
      <c r="N85" s="504">
        <f t="shared" si="29"/>
        <v>215.99999999999997</v>
      </c>
      <c r="O85" s="504">
        <f t="shared" si="30"/>
        <v>80.99999999999999</v>
      </c>
      <c r="P85" s="504">
        <v>0</v>
      </c>
      <c r="Q85" s="504">
        <f t="shared" si="34"/>
        <v>0</v>
      </c>
      <c r="R85" s="504">
        <f t="shared" si="32"/>
        <v>0</v>
      </c>
      <c r="S85" s="504">
        <f t="shared" si="35"/>
        <v>0</v>
      </c>
      <c r="T85" s="504">
        <f t="shared" si="36"/>
        <v>0</v>
      </c>
      <c r="U85" s="504">
        <f t="shared" si="33"/>
        <v>0</v>
      </c>
      <c r="V85" s="504">
        <f t="shared" si="31"/>
        <v>0</v>
      </c>
      <c r="W85" s="504" t="s">
        <v>1061</v>
      </c>
    </row>
    <row r="86" spans="1:23" ht="34.5" customHeight="1">
      <c r="A86" s="503">
        <v>82</v>
      </c>
      <c r="B86" s="502" t="s">
        <v>102</v>
      </c>
      <c r="C86" s="503" t="s">
        <v>124</v>
      </c>
      <c r="D86" s="1430" t="s">
        <v>125</v>
      </c>
      <c r="E86" s="1430"/>
      <c r="F86" s="502" t="s">
        <v>55</v>
      </c>
      <c r="G86" s="504"/>
      <c r="H86" s="504">
        <f t="shared" si="25"/>
        <v>0</v>
      </c>
      <c r="I86" s="504">
        <v>25</v>
      </c>
      <c r="J86" s="504">
        <f t="shared" si="26"/>
        <v>100</v>
      </c>
      <c r="K86" s="504">
        <v>15</v>
      </c>
      <c r="L86" s="504">
        <f t="shared" si="27"/>
        <v>60</v>
      </c>
      <c r="M86" s="504">
        <f t="shared" si="28"/>
        <v>15</v>
      </c>
      <c r="N86" s="504">
        <f t="shared" si="29"/>
        <v>135</v>
      </c>
      <c r="O86" s="504">
        <f t="shared" si="30"/>
        <v>80.99999999999999</v>
      </c>
      <c r="P86" s="504">
        <v>0</v>
      </c>
      <c r="Q86" s="504">
        <f t="shared" si="34"/>
        <v>0</v>
      </c>
      <c r="R86" s="504">
        <f t="shared" si="32"/>
        <v>0</v>
      </c>
      <c r="S86" s="504">
        <f t="shared" si="35"/>
        <v>0</v>
      </c>
      <c r="T86" s="504">
        <f t="shared" si="36"/>
        <v>0</v>
      </c>
      <c r="U86" s="504">
        <f t="shared" si="33"/>
        <v>0</v>
      </c>
      <c r="V86" s="504">
        <f t="shared" si="31"/>
        <v>0</v>
      </c>
      <c r="W86" s="504" t="s">
        <v>1061</v>
      </c>
    </row>
    <row r="87" spans="1:23" ht="34.5" customHeight="1">
      <c r="A87" s="503">
        <v>83</v>
      </c>
      <c r="B87" s="502" t="s">
        <v>102</v>
      </c>
      <c r="C87" s="503" t="s">
        <v>129</v>
      </c>
      <c r="D87" s="1430" t="s">
        <v>130</v>
      </c>
      <c r="E87" s="1430"/>
      <c r="F87" s="502" t="s">
        <v>55</v>
      </c>
      <c r="G87" s="504">
        <v>35</v>
      </c>
      <c r="H87" s="504">
        <f t="shared" si="25"/>
        <v>6.761363636363637</v>
      </c>
      <c r="I87" s="504">
        <v>88</v>
      </c>
      <c r="J87" s="504">
        <f t="shared" si="26"/>
        <v>352</v>
      </c>
      <c r="K87" s="504">
        <v>17</v>
      </c>
      <c r="L87" s="504">
        <f t="shared" si="27"/>
        <v>68</v>
      </c>
      <c r="M87" s="504">
        <f t="shared" si="28"/>
        <v>17</v>
      </c>
      <c r="N87" s="504">
        <f t="shared" si="29"/>
        <v>475.19999999999993</v>
      </c>
      <c r="O87" s="504">
        <f t="shared" si="30"/>
        <v>91.8</v>
      </c>
      <c r="P87" s="504">
        <v>0</v>
      </c>
      <c r="Q87" s="504">
        <f t="shared" si="34"/>
        <v>0</v>
      </c>
      <c r="R87" s="504">
        <f t="shared" si="32"/>
        <v>0</v>
      </c>
      <c r="S87" s="504">
        <f t="shared" si="35"/>
        <v>0</v>
      </c>
      <c r="T87" s="504">
        <f t="shared" si="36"/>
        <v>0</v>
      </c>
      <c r="U87" s="504">
        <f t="shared" si="33"/>
        <v>0</v>
      </c>
      <c r="V87" s="504">
        <f t="shared" si="31"/>
        <v>0</v>
      </c>
      <c r="W87" s="504" t="s">
        <v>1061</v>
      </c>
    </row>
    <row r="88" spans="1:23" ht="34.5" customHeight="1">
      <c r="A88" s="503">
        <v>84</v>
      </c>
      <c r="B88" s="502" t="s">
        <v>102</v>
      </c>
      <c r="C88" s="503" t="s">
        <v>129</v>
      </c>
      <c r="D88" s="1430" t="s">
        <v>131</v>
      </c>
      <c r="E88" s="1430"/>
      <c r="F88" s="502" t="s">
        <v>55</v>
      </c>
      <c r="G88" s="504">
        <v>57</v>
      </c>
      <c r="H88" s="504">
        <f t="shared" si="25"/>
        <v>6.729166666666667</v>
      </c>
      <c r="I88" s="504">
        <v>144</v>
      </c>
      <c r="J88" s="504">
        <f t="shared" si="26"/>
        <v>576</v>
      </c>
      <c r="K88" s="504">
        <v>17</v>
      </c>
      <c r="L88" s="504">
        <f t="shared" si="27"/>
        <v>68</v>
      </c>
      <c r="M88" s="504">
        <f t="shared" si="28"/>
        <v>17</v>
      </c>
      <c r="N88" s="504">
        <f t="shared" si="29"/>
        <v>777.5999999999999</v>
      </c>
      <c r="O88" s="504">
        <f t="shared" si="30"/>
        <v>91.8</v>
      </c>
      <c r="P88" s="504">
        <v>0</v>
      </c>
      <c r="Q88" s="504">
        <f t="shared" si="34"/>
        <v>0</v>
      </c>
      <c r="R88" s="504">
        <f t="shared" si="32"/>
        <v>0</v>
      </c>
      <c r="S88" s="504">
        <f t="shared" si="35"/>
        <v>0</v>
      </c>
      <c r="T88" s="504">
        <f t="shared" si="36"/>
        <v>0</v>
      </c>
      <c r="U88" s="504">
        <f t="shared" si="33"/>
        <v>0</v>
      </c>
      <c r="V88" s="504">
        <f t="shared" si="31"/>
        <v>0</v>
      </c>
      <c r="W88" s="504" t="s">
        <v>1061</v>
      </c>
    </row>
    <row r="89" spans="1:23" ht="34.5" customHeight="1">
      <c r="A89" s="503">
        <v>85</v>
      </c>
      <c r="B89" s="502" t="s">
        <v>102</v>
      </c>
      <c r="C89" s="503" t="s">
        <v>129</v>
      </c>
      <c r="D89" s="1430" t="s">
        <v>132</v>
      </c>
      <c r="E89" s="1430"/>
      <c r="F89" s="502" t="s">
        <v>55</v>
      </c>
      <c r="G89" s="504">
        <v>49</v>
      </c>
      <c r="H89" s="504">
        <f t="shared" si="25"/>
        <v>25.68548387096774</v>
      </c>
      <c r="I89" s="504">
        <v>124</v>
      </c>
      <c r="J89" s="504">
        <f t="shared" si="26"/>
        <v>496</v>
      </c>
      <c r="K89" s="504">
        <v>65</v>
      </c>
      <c r="L89" s="504">
        <f t="shared" si="27"/>
        <v>260</v>
      </c>
      <c r="M89" s="504">
        <f t="shared" si="28"/>
        <v>65</v>
      </c>
      <c r="N89" s="504">
        <f t="shared" si="29"/>
        <v>669.5999999999999</v>
      </c>
      <c r="O89" s="504">
        <f t="shared" si="30"/>
        <v>350.99999999999994</v>
      </c>
      <c r="P89" s="504">
        <v>0</v>
      </c>
      <c r="Q89" s="504">
        <f t="shared" si="34"/>
        <v>0</v>
      </c>
      <c r="R89" s="504">
        <f t="shared" si="32"/>
        <v>0</v>
      </c>
      <c r="S89" s="504">
        <f t="shared" si="35"/>
        <v>0</v>
      </c>
      <c r="T89" s="504">
        <f t="shared" si="36"/>
        <v>0</v>
      </c>
      <c r="U89" s="504">
        <f t="shared" si="33"/>
        <v>0</v>
      </c>
      <c r="V89" s="504">
        <f t="shared" si="31"/>
        <v>0</v>
      </c>
      <c r="W89" s="504" t="s">
        <v>1061</v>
      </c>
    </row>
    <row r="90" spans="1:23" ht="34.5" customHeight="1">
      <c r="A90" s="503">
        <v>86</v>
      </c>
      <c r="B90" s="502" t="s">
        <v>102</v>
      </c>
      <c r="C90" s="503" t="s">
        <v>1135</v>
      </c>
      <c r="D90" s="1430" t="s">
        <v>133</v>
      </c>
      <c r="E90" s="1430"/>
      <c r="F90" s="502" t="s">
        <v>55</v>
      </c>
      <c r="G90" s="504">
        <v>94</v>
      </c>
      <c r="H90" s="504">
        <f t="shared" si="25"/>
        <v>21.86046511627907</v>
      </c>
      <c r="I90" s="504">
        <v>129</v>
      </c>
      <c r="J90" s="504">
        <f t="shared" si="26"/>
        <v>516</v>
      </c>
      <c r="K90" s="504">
        <v>30</v>
      </c>
      <c r="L90" s="504">
        <f t="shared" si="27"/>
        <v>120</v>
      </c>
      <c r="M90" s="504">
        <f t="shared" si="28"/>
        <v>30</v>
      </c>
      <c r="N90" s="504">
        <f t="shared" si="29"/>
        <v>696.5999999999999</v>
      </c>
      <c r="O90" s="504">
        <f t="shared" si="30"/>
        <v>161.99999999999997</v>
      </c>
      <c r="P90" s="504">
        <v>0</v>
      </c>
      <c r="Q90" s="504">
        <f t="shared" si="34"/>
        <v>0</v>
      </c>
      <c r="R90" s="504">
        <f t="shared" si="32"/>
        <v>0</v>
      </c>
      <c r="S90" s="504">
        <f t="shared" si="35"/>
        <v>0</v>
      </c>
      <c r="T90" s="504">
        <f t="shared" si="36"/>
        <v>0</v>
      </c>
      <c r="U90" s="504">
        <f t="shared" si="33"/>
        <v>0</v>
      </c>
      <c r="V90" s="504">
        <f t="shared" si="31"/>
        <v>0</v>
      </c>
      <c r="W90" s="504" t="s">
        <v>1061</v>
      </c>
    </row>
    <row r="91" spans="1:23" ht="34.5" customHeight="1">
      <c r="A91" s="503">
        <v>87</v>
      </c>
      <c r="B91" s="502" t="s">
        <v>102</v>
      </c>
      <c r="C91" s="503" t="s">
        <v>134</v>
      </c>
      <c r="D91" s="1430" t="s">
        <v>135</v>
      </c>
      <c r="E91" s="1430"/>
      <c r="F91" s="502" t="s">
        <v>55</v>
      </c>
      <c r="G91" s="504">
        <v>21</v>
      </c>
      <c r="H91" s="504">
        <f t="shared" si="25"/>
        <v>13.81578947368421</v>
      </c>
      <c r="I91" s="504">
        <v>76</v>
      </c>
      <c r="J91" s="504">
        <f t="shared" si="26"/>
        <v>304</v>
      </c>
      <c r="K91" s="504">
        <v>50</v>
      </c>
      <c r="L91" s="504">
        <f t="shared" si="27"/>
        <v>200</v>
      </c>
      <c r="M91" s="504">
        <f t="shared" si="28"/>
        <v>50</v>
      </c>
      <c r="N91" s="504">
        <f t="shared" si="29"/>
        <v>410.4</v>
      </c>
      <c r="O91" s="504">
        <f t="shared" si="30"/>
        <v>270</v>
      </c>
      <c r="P91" s="504" t="s">
        <v>136</v>
      </c>
      <c r="Q91" s="504">
        <f>24000*K91/12</f>
        <v>100000</v>
      </c>
      <c r="R91" s="504">
        <f t="shared" si="32"/>
        <v>65000</v>
      </c>
      <c r="S91" s="504">
        <v>0</v>
      </c>
      <c r="T91" s="504">
        <v>0</v>
      </c>
      <c r="U91" s="504">
        <f t="shared" si="33"/>
        <v>35000</v>
      </c>
      <c r="V91" s="504">
        <f t="shared" si="31"/>
        <v>100000</v>
      </c>
      <c r="W91" s="504" t="s">
        <v>1061</v>
      </c>
    </row>
    <row r="92" spans="1:23" ht="34.5" customHeight="1">
      <c r="A92" s="503">
        <v>88</v>
      </c>
      <c r="B92" s="502" t="s">
        <v>102</v>
      </c>
      <c r="C92" s="503" t="s">
        <v>134</v>
      </c>
      <c r="D92" s="1430" t="s">
        <v>137</v>
      </c>
      <c r="E92" s="1430"/>
      <c r="F92" s="502" t="s">
        <v>55</v>
      </c>
      <c r="G92" s="504">
        <v>232</v>
      </c>
      <c r="H92" s="504">
        <f t="shared" si="25"/>
        <v>21.027190332326285</v>
      </c>
      <c r="I92" s="504">
        <v>331</v>
      </c>
      <c r="J92" s="504">
        <f t="shared" si="26"/>
        <v>1324</v>
      </c>
      <c r="K92" s="504">
        <v>30</v>
      </c>
      <c r="L92" s="504">
        <f t="shared" si="27"/>
        <v>120</v>
      </c>
      <c r="M92" s="504">
        <f t="shared" si="28"/>
        <v>30</v>
      </c>
      <c r="N92" s="504">
        <f t="shared" si="29"/>
        <v>1787.3999999999999</v>
      </c>
      <c r="O92" s="504">
        <f t="shared" si="30"/>
        <v>161.99999999999997</v>
      </c>
      <c r="P92" s="504" t="s">
        <v>138</v>
      </c>
      <c r="Q92" s="504">
        <f>+K92*10000</f>
        <v>300000</v>
      </c>
      <c r="R92" s="504">
        <f t="shared" si="32"/>
        <v>195000</v>
      </c>
      <c r="S92" s="504">
        <v>0</v>
      </c>
      <c r="T92" s="504">
        <v>0</v>
      </c>
      <c r="U92" s="504">
        <f t="shared" si="33"/>
        <v>105000</v>
      </c>
      <c r="V92" s="504">
        <f t="shared" si="31"/>
        <v>300000</v>
      </c>
      <c r="W92" s="504" t="s">
        <v>1061</v>
      </c>
    </row>
    <row r="93" spans="1:23" ht="34.5" customHeight="1">
      <c r="A93" s="503">
        <v>89</v>
      </c>
      <c r="B93" s="502" t="s">
        <v>102</v>
      </c>
      <c r="C93" s="503" t="s">
        <v>139</v>
      </c>
      <c r="D93" s="1430" t="s">
        <v>140</v>
      </c>
      <c r="E93" s="1430"/>
      <c r="F93" s="502" t="s">
        <v>55</v>
      </c>
      <c r="G93" s="504">
        <v>43</v>
      </c>
      <c r="H93" s="504">
        <f t="shared" si="25"/>
        <v>9.626865671641792</v>
      </c>
      <c r="I93" s="504">
        <v>67</v>
      </c>
      <c r="J93" s="504">
        <f t="shared" si="26"/>
        <v>268</v>
      </c>
      <c r="K93" s="504">
        <v>15</v>
      </c>
      <c r="L93" s="504">
        <f t="shared" si="27"/>
        <v>60</v>
      </c>
      <c r="M93" s="504">
        <f t="shared" si="28"/>
        <v>15</v>
      </c>
      <c r="N93" s="504">
        <f t="shared" si="29"/>
        <v>361.79999999999995</v>
      </c>
      <c r="O93" s="504">
        <f t="shared" si="30"/>
        <v>80.99999999999999</v>
      </c>
      <c r="P93" s="504">
        <v>0</v>
      </c>
      <c r="Q93" s="504">
        <f aca="true" t="shared" si="37" ref="Q93:Q112">+P93*O93</f>
        <v>0</v>
      </c>
      <c r="R93" s="504">
        <f t="shared" si="32"/>
        <v>0</v>
      </c>
      <c r="S93" s="504">
        <f>+Q93*0.25</f>
        <v>0</v>
      </c>
      <c r="T93" s="504">
        <f>+Q93*0.05</f>
        <v>0</v>
      </c>
      <c r="U93" s="504">
        <f t="shared" si="33"/>
        <v>0</v>
      </c>
      <c r="V93" s="504">
        <f t="shared" si="31"/>
        <v>0</v>
      </c>
      <c r="W93" s="504" t="s">
        <v>1061</v>
      </c>
    </row>
    <row r="94" spans="1:23" ht="34.5" customHeight="1">
      <c r="A94" s="503">
        <v>90</v>
      </c>
      <c r="B94" s="502" t="s">
        <v>102</v>
      </c>
      <c r="C94" s="503" t="s">
        <v>139</v>
      </c>
      <c r="D94" s="1430" t="s">
        <v>141</v>
      </c>
      <c r="E94" s="1430"/>
      <c r="F94" s="502" t="s">
        <v>55</v>
      </c>
      <c r="G94" s="504">
        <v>40</v>
      </c>
      <c r="H94" s="504">
        <f t="shared" si="25"/>
        <v>23.272727272727273</v>
      </c>
      <c r="I94" s="504">
        <v>55</v>
      </c>
      <c r="J94" s="504">
        <f t="shared" si="26"/>
        <v>220</v>
      </c>
      <c r="K94" s="504">
        <v>32</v>
      </c>
      <c r="L94" s="504">
        <f t="shared" si="27"/>
        <v>128</v>
      </c>
      <c r="M94" s="504">
        <f t="shared" si="28"/>
        <v>32</v>
      </c>
      <c r="N94" s="504">
        <f t="shared" si="29"/>
        <v>296.99999999999994</v>
      </c>
      <c r="O94" s="504">
        <f t="shared" si="30"/>
        <v>172.79999999999998</v>
      </c>
      <c r="P94" s="504">
        <v>0</v>
      </c>
      <c r="Q94" s="504">
        <f t="shared" si="37"/>
        <v>0</v>
      </c>
      <c r="R94" s="504">
        <f t="shared" si="32"/>
        <v>0</v>
      </c>
      <c r="S94" s="504">
        <f>+Q94*0.25</f>
        <v>0</v>
      </c>
      <c r="T94" s="504">
        <f>+Q94*0.05</f>
        <v>0</v>
      </c>
      <c r="U94" s="504">
        <f t="shared" si="33"/>
        <v>0</v>
      </c>
      <c r="V94" s="504">
        <f t="shared" si="31"/>
        <v>0</v>
      </c>
      <c r="W94" s="504" t="s">
        <v>1061</v>
      </c>
    </row>
    <row r="95" spans="1:23" ht="34.5" customHeight="1">
      <c r="A95" s="503">
        <v>91</v>
      </c>
      <c r="B95" s="502" t="s">
        <v>102</v>
      </c>
      <c r="C95" s="503" t="s">
        <v>139</v>
      </c>
      <c r="D95" s="1430" t="s">
        <v>142</v>
      </c>
      <c r="E95" s="1430"/>
      <c r="F95" s="502" t="s">
        <v>55</v>
      </c>
      <c r="G95" s="504">
        <v>27</v>
      </c>
      <c r="H95" s="504">
        <f t="shared" si="25"/>
        <v>2.4545454545454546</v>
      </c>
      <c r="I95" s="504">
        <v>33</v>
      </c>
      <c r="J95" s="504">
        <f t="shared" si="26"/>
        <v>132</v>
      </c>
      <c r="K95" s="504">
        <v>3</v>
      </c>
      <c r="L95" s="504">
        <f t="shared" si="27"/>
        <v>12</v>
      </c>
      <c r="M95" s="504">
        <f t="shared" si="28"/>
        <v>3</v>
      </c>
      <c r="N95" s="504">
        <f t="shared" si="29"/>
        <v>178.2</v>
      </c>
      <c r="O95" s="504">
        <f t="shared" si="30"/>
        <v>16.2</v>
      </c>
      <c r="P95" s="504">
        <v>0</v>
      </c>
      <c r="Q95" s="504">
        <f t="shared" si="37"/>
        <v>0</v>
      </c>
      <c r="R95" s="504">
        <f t="shared" si="32"/>
        <v>0</v>
      </c>
      <c r="S95" s="504">
        <f>+Q95*0.25</f>
        <v>0</v>
      </c>
      <c r="T95" s="504">
        <f>+Q95*0.05</f>
        <v>0</v>
      </c>
      <c r="U95" s="504">
        <f t="shared" si="33"/>
        <v>0</v>
      </c>
      <c r="V95" s="504">
        <f t="shared" si="31"/>
        <v>0</v>
      </c>
      <c r="W95" s="504" t="s">
        <v>1061</v>
      </c>
    </row>
    <row r="96" spans="1:23" ht="34.5" customHeight="1">
      <c r="A96" s="503">
        <v>92</v>
      </c>
      <c r="B96" s="502" t="s">
        <v>102</v>
      </c>
      <c r="C96" s="503" t="s">
        <v>139</v>
      </c>
      <c r="D96" s="1430" t="s">
        <v>143</v>
      </c>
      <c r="E96" s="1430"/>
      <c r="F96" s="502" t="s">
        <v>55</v>
      </c>
      <c r="G96" s="504">
        <v>14</v>
      </c>
      <c r="H96" s="504">
        <f t="shared" si="25"/>
        <v>7.6</v>
      </c>
      <c r="I96" s="504">
        <v>35</v>
      </c>
      <c r="J96" s="504">
        <f t="shared" si="26"/>
        <v>140</v>
      </c>
      <c r="K96" s="504">
        <v>19</v>
      </c>
      <c r="L96" s="504">
        <f t="shared" si="27"/>
        <v>76</v>
      </c>
      <c r="M96" s="504">
        <f t="shared" si="28"/>
        <v>19</v>
      </c>
      <c r="N96" s="504">
        <f t="shared" si="29"/>
        <v>188.99999999999997</v>
      </c>
      <c r="O96" s="504">
        <f t="shared" si="30"/>
        <v>102.6</v>
      </c>
      <c r="P96" s="504">
        <v>0</v>
      </c>
      <c r="Q96" s="504">
        <f t="shared" si="37"/>
        <v>0</v>
      </c>
      <c r="R96" s="504">
        <f t="shared" si="32"/>
        <v>0</v>
      </c>
      <c r="S96" s="504">
        <f>+Q96*0.25</f>
        <v>0</v>
      </c>
      <c r="T96" s="504">
        <f>+Q96*0.05</f>
        <v>0</v>
      </c>
      <c r="U96" s="504">
        <f t="shared" si="33"/>
        <v>0</v>
      </c>
      <c r="V96" s="504">
        <f t="shared" si="31"/>
        <v>0</v>
      </c>
      <c r="W96" s="504" t="s">
        <v>1061</v>
      </c>
    </row>
    <row r="97" spans="1:23" ht="34.5" customHeight="1">
      <c r="A97" s="503">
        <v>93</v>
      </c>
      <c r="B97" s="502" t="s">
        <v>102</v>
      </c>
      <c r="C97" s="503" t="s">
        <v>144</v>
      </c>
      <c r="D97" s="1430" t="s">
        <v>145</v>
      </c>
      <c r="E97" s="1430"/>
      <c r="F97" s="502" t="s">
        <v>55</v>
      </c>
      <c r="G97" s="504"/>
      <c r="H97" s="504"/>
      <c r="I97" s="504"/>
      <c r="J97" s="504">
        <f t="shared" si="26"/>
        <v>0</v>
      </c>
      <c r="K97" s="504">
        <v>79</v>
      </c>
      <c r="L97" s="504">
        <f t="shared" si="27"/>
        <v>316</v>
      </c>
      <c r="M97" s="504">
        <f t="shared" si="28"/>
        <v>79</v>
      </c>
      <c r="N97" s="504">
        <f t="shared" si="29"/>
        <v>0</v>
      </c>
      <c r="O97" s="504">
        <f t="shared" si="30"/>
        <v>426.59999999999997</v>
      </c>
      <c r="P97" s="504">
        <v>500</v>
      </c>
      <c r="Q97" s="504">
        <f t="shared" si="37"/>
        <v>213299.99999999997</v>
      </c>
      <c r="R97" s="504">
        <f t="shared" si="32"/>
        <v>138645</v>
      </c>
      <c r="S97" s="504">
        <v>0</v>
      </c>
      <c r="T97" s="504">
        <v>0</v>
      </c>
      <c r="U97" s="504">
        <f t="shared" si="33"/>
        <v>74654.99999999997</v>
      </c>
      <c r="V97" s="504">
        <f t="shared" si="31"/>
        <v>213299.99999999997</v>
      </c>
      <c r="W97" s="504" t="s">
        <v>1061</v>
      </c>
    </row>
    <row r="98" spans="1:23" ht="34.5" customHeight="1">
      <c r="A98" s="503">
        <v>94</v>
      </c>
      <c r="B98" s="502" t="s">
        <v>102</v>
      </c>
      <c r="C98" s="503" t="s">
        <v>1141</v>
      </c>
      <c r="D98" s="1430" t="s">
        <v>146</v>
      </c>
      <c r="E98" s="1430"/>
      <c r="F98" s="502" t="s">
        <v>55</v>
      </c>
      <c r="G98" s="504">
        <v>600</v>
      </c>
      <c r="H98" s="504">
        <f aca="true" t="shared" si="38" ref="H98:H113">+G98*L98/J98</f>
        <v>683.3333333333334</v>
      </c>
      <c r="I98" s="504">
        <v>36</v>
      </c>
      <c r="J98" s="504">
        <f t="shared" si="26"/>
        <v>144</v>
      </c>
      <c r="K98" s="504">
        <v>41</v>
      </c>
      <c r="L98" s="504">
        <f t="shared" si="27"/>
        <v>164</v>
      </c>
      <c r="M98" s="504">
        <f t="shared" si="28"/>
        <v>41</v>
      </c>
      <c r="N98" s="504">
        <f t="shared" si="29"/>
        <v>194.39999999999998</v>
      </c>
      <c r="O98" s="504">
        <f t="shared" si="30"/>
        <v>221.39999999999998</v>
      </c>
      <c r="P98" s="504">
        <v>0</v>
      </c>
      <c r="Q98" s="504">
        <f t="shared" si="37"/>
        <v>0</v>
      </c>
      <c r="R98" s="504">
        <f t="shared" si="32"/>
        <v>0</v>
      </c>
      <c r="S98" s="504">
        <f aca="true" t="shared" si="39" ref="S98:S112">+Q98*0.25</f>
        <v>0</v>
      </c>
      <c r="T98" s="504">
        <f aca="true" t="shared" si="40" ref="T98:T112">+Q98*0.05</f>
        <v>0</v>
      </c>
      <c r="U98" s="504">
        <f t="shared" si="33"/>
        <v>0</v>
      </c>
      <c r="V98" s="504">
        <f t="shared" si="31"/>
        <v>0</v>
      </c>
      <c r="W98" s="504" t="s">
        <v>1061</v>
      </c>
    </row>
    <row r="99" spans="1:23" ht="34.5" customHeight="1">
      <c r="A99" s="503">
        <v>95</v>
      </c>
      <c r="B99" s="502" t="s">
        <v>147</v>
      </c>
      <c r="C99" s="503" t="s">
        <v>147</v>
      </c>
      <c r="D99" s="1430" t="s">
        <v>148</v>
      </c>
      <c r="E99" s="1430"/>
      <c r="F99" s="502" t="s">
        <v>12</v>
      </c>
      <c r="G99" s="504">
        <v>10000</v>
      </c>
      <c r="H99" s="504">
        <f t="shared" si="38"/>
        <v>20070.881769208958</v>
      </c>
      <c r="I99" s="504">
        <v>3527</v>
      </c>
      <c r="J99" s="504">
        <f t="shared" si="26"/>
        <v>14108</v>
      </c>
      <c r="K99" s="504">
        <v>7079</v>
      </c>
      <c r="L99" s="504">
        <f t="shared" si="27"/>
        <v>28316</v>
      </c>
      <c r="M99" s="504">
        <f t="shared" si="28"/>
        <v>7079</v>
      </c>
      <c r="N99" s="504">
        <f t="shared" si="29"/>
        <v>19045.8</v>
      </c>
      <c r="O99" s="504">
        <f t="shared" si="30"/>
        <v>38226.6</v>
      </c>
      <c r="P99" s="504">
        <v>6100</v>
      </c>
      <c r="Q99" s="504">
        <f t="shared" si="37"/>
        <v>233182260</v>
      </c>
      <c r="R99" s="504">
        <f t="shared" si="32"/>
        <v>151568469</v>
      </c>
      <c r="S99" s="504">
        <f t="shared" si="39"/>
        <v>58295565</v>
      </c>
      <c r="T99" s="504">
        <f t="shared" si="40"/>
        <v>11659113</v>
      </c>
      <c r="U99" s="504">
        <f t="shared" si="33"/>
        <v>11659113</v>
      </c>
      <c r="V99" s="504">
        <f t="shared" si="31"/>
        <v>233182260</v>
      </c>
      <c r="W99" s="504" t="s">
        <v>13</v>
      </c>
    </row>
    <row r="100" spans="1:23" ht="34.5" customHeight="1">
      <c r="A100" s="503">
        <v>96</v>
      </c>
      <c r="B100" s="502" t="s">
        <v>149</v>
      </c>
      <c r="C100" s="503" t="s">
        <v>150</v>
      </c>
      <c r="D100" s="1430" t="s">
        <v>151</v>
      </c>
      <c r="E100" s="1430"/>
      <c r="F100" s="502" t="s">
        <v>12</v>
      </c>
      <c r="G100" s="504">
        <v>60000</v>
      </c>
      <c r="H100" s="504">
        <f t="shared" si="38"/>
        <v>124248</v>
      </c>
      <c r="I100" s="504">
        <v>20000</v>
      </c>
      <c r="J100" s="504">
        <f t="shared" si="26"/>
        <v>80000</v>
      </c>
      <c r="K100" s="504">
        <v>41416</v>
      </c>
      <c r="L100" s="504">
        <f t="shared" si="27"/>
        <v>165664</v>
      </c>
      <c r="M100" s="504">
        <f t="shared" si="28"/>
        <v>41416</v>
      </c>
      <c r="N100" s="504">
        <f t="shared" si="29"/>
        <v>107999.99999999999</v>
      </c>
      <c r="O100" s="504">
        <f t="shared" si="30"/>
        <v>223646.39999999997</v>
      </c>
      <c r="P100" s="504">
        <v>6100</v>
      </c>
      <c r="Q100" s="504">
        <f t="shared" si="37"/>
        <v>1364243039.9999998</v>
      </c>
      <c r="R100" s="504">
        <f t="shared" si="32"/>
        <v>886757975.9999999</v>
      </c>
      <c r="S100" s="504">
        <f t="shared" si="39"/>
        <v>341060759.99999994</v>
      </c>
      <c r="T100" s="504">
        <f t="shared" si="40"/>
        <v>68212151.99999999</v>
      </c>
      <c r="U100" s="504">
        <f t="shared" si="33"/>
        <v>68212152</v>
      </c>
      <c r="V100" s="504">
        <f t="shared" si="31"/>
        <v>1364243039.9999998</v>
      </c>
      <c r="W100" s="504" t="s">
        <v>13</v>
      </c>
    </row>
    <row r="101" spans="1:23" ht="34.5" customHeight="1">
      <c r="A101" s="503">
        <v>97</v>
      </c>
      <c r="B101" s="502" t="s">
        <v>152</v>
      </c>
      <c r="C101" s="503" t="s">
        <v>153</v>
      </c>
      <c r="D101" s="1430" t="s">
        <v>154</v>
      </c>
      <c r="E101" s="1430"/>
      <c r="F101" s="502" t="s">
        <v>55</v>
      </c>
      <c r="G101" s="504">
        <v>18</v>
      </c>
      <c r="H101" s="504">
        <f t="shared" si="38"/>
        <v>8</v>
      </c>
      <c r="I101" s="504">
        <v>45</v>
      </c>
      <c r="J101" s="504">
        <f aca="true" t="shared" si="41" ref="J101:J132">+I101*4</f>
        <v>180</v>
      </c>
      <c r="K101" s="504">
        <v>20</v>
      </c>
      <c r="L101" s="504">
        <f aca="true" t="shared" si="42" ref="L101:L132">+K101*4</f>
        <v>80</v>
      </c>
      <c r="M101" s="504">
        <f aca="true" t="shared" si="43" ref="M101:M135">+K101</f>
        <v>20</v>
      </c>
      <c r="N101" s="504">
        <f aca="true" t="shared" si="44" ref="N101:N135">45*0.001*30*J101</f>
        <v>242.99999999999997</v>
      </c>
      <c r="O101" s="504">
        <f aca="true" t="shared" si="45" ref="O101:O135">45*0.001*30*L101</f>
        <v>107.99999999999999</v>
      </c>
      <c r="P101" s="504">
        <v>0</v>
      </c>
      <c r="Q101" s="504">
        <f t="shared" si="37"/>
        <v>0</v>
      </c>
      <c r="R101" s="504">
        <f t="shared" si="32"/>
        <v>0</v>
      </c>
      <c r="S101" s="504">
        <f t="shared" si="39"/>
        <v>0</v>
      </c>
      <c r="T101" s="504">
        <f t="shared" si="40"/>
        <v>0</v>
      </c>
      <c r="U101" s="504">
        <f t="shared" si="33"/>
        <v>0</v>
      </c>
      <c r="V101" s="504">
        <f aca="true" t="shared" si="46" ref="V101:V132">+SUM(R101:U101)</f>
        <v>0</v>
      </c>
      <c r="W101" s="504" t="s">
        <v>1061</v>
      </c>
    </row>
    <row r="102" spans="1:23" ht="34.5" customHeight="1">
      <c r="A102" s="503">
        <v>98</v>
      </c>
      <c r="B102" s="502" t="s">
        <v>152</v>
      </c>
      <c r="C102" s="503" t="s">
        <v>153</v>
      </c>
      <c r="D102" s="1430" t="s">
        <v>155</v>
      </c>
      <c r="E102" s="1430"/>
      <c r="F102" s="502" t="s">
        <v>55</v>
      </c>
      <c r="G102" s="504">
        <v>24</v>
      </c>
      <c r="H102" s="504">
        <f t="shared" si="38"/>
        <v>16.131147540983605</v>
      </c>
      <c r="I102" s="504">
        <v>61</v>
      </c>
      <c r="J102" s="504">
        <f t="shared" si="41"/>
        <v>244</v>
      </c>
      <c r="K102" s="504">
        <v>41</v>
      </c>
      <c r="L102" s="504">
        <f t="shared" si="42"/>
        <v>164</v>
      </c>
      <c r="M102" s="504">
        <f t="shared" si="43"/>
        <v>41</v>
      </c>
      <c r="N102" s="504">
        <f t="shared" si="44"/>
        <v>329.4</v>
      </c>
      <c r="O102" s="504">
        <f t="shared" si="45"/>
        <v>221.39999999999998</v>
      </c>
      <c r="P102" s="504">
        <v>0</v>
      </c>
      <c r="Q102" s="504">
        <f t="shared" si="37"/>
        <v>0</v>
      </c>
      <c r="R102" s="504">
        <f t="shared" si="32"/>
        <v>0</v>
      </c>
      <c r="S102" s="504">
        <f t="shared" si="39"/>
        <v>0</v>
      </c>
      <c r="T102" s="504">
        <f t="shared" si="40"/>
        <v>0</v>
      </c>
      <c r="U102" s="504">
        <f t="shared" si="33"/>
        <v>0</v>
      </c>
      <c r="V102" s="504">
        <f t="shared" si="46"/>
        <v>0</v>
      </c>
      <c r="W102" s="504" t="s">
        <v>1061</v>
      </c>
    </row>
    <row r="103" spans="1:23" ht="34.5" customHeight="1">
      <c r="A103" s="503">
        <v>99</v>
      </c>
      <c r="B103" s="502" t="s">
        <v>152</v>
      </c>
      <c r="C103" s="503" t="s">
        <v>153</v>
      </c>
      <c r="D103" s="1430" t="s">
        <v>156</v>
      </c>
      <c r="E103" s="1430"/>
      <c r="F103" s="502" t="s">
        <v>55</v>
      </c>
      <c r="G103" s="504">
        <v>19</v>
      </c>
      <c r="H103" s="504">
        <f t="shared" si="38"/>
        <v>17.448979591836736</v>
      </c>
      <c r="I103" s="504">
        <v>49</v>
      </c>
      <c r="J103" s="504">
        <f t="shared" si="41"/>
        <v>196</v>
      </c>
      <c r="K103" s="504">
        <v>45</v>
      </c>
      <c r="L103" s="504">
        <f t="shared" si="42"/>
        <v>180</v>
      </c>
      <c r="M103" s="504">
        <f t="shared" si="43"/>
        <v>45</v>
      </c>
      <c r="N103" s="504">
        <f t="shared" si="44"/>
        <v>264.59999999999997</v>
      </c>
      <c r="O103" s="504">
        <f t="shared" si="45"/>
        <v>242.99999999999997</v>
      </c>
      <c r="P103" s="504">
        <v>0</v>
      </c>
      <c r="Q103" s="504">
        <f t="shared" si="37"/>
        <v>0</v>
      </c>
      <c r="R103" s="504">
        <f aca="true" t="shared" si="47" ref="R103:R134">+Q103*0.65</f>
        <v>0</v>
      </c>
      <c r="S103" s="504">
        <f t="shared" si="39"/>
        <v>0</v>
      </c>
      <c r="T103" s="504">
        <f t="shared" si="40"/>
        <v>0</v>
      </c>
      <c r="U103" s="504">
        <f t="shared" si="33"/>
        <v>0</v>
      </c>
      <c r="V103" s="504">
        <f t="shared" si="46"/>
        <v>0</v>
      </c>
      <c r="W103" s="504" t="s">
        <v>1061</v>
      </c>
    </row>
    <row r="104" spans="1:23" ht="34.5" customHeight="1">
      <c r="A104" s="503">
        <v>100</v>
      </c>
      <c r="B104" s="502" t="s">
        <v>152</v>
      </c>
      <c r="C104" s="503" t="s">
        <v>153</v>
      </c>
      <c r="D104" s="1430" t="s">
        <v>157</v>
      </c>
      <c r="E104" s="1430"/>
      <c r="F104" s="502" t="s">
        <v>55</v>
      </c>
      <c r="G104" s="504">
        <v>40</v>
      </c>
      <c r="H104" s="504">
        <f t="shared" si="38"/>
        <v>20</v>
      </c>
      <c r="I104" s="504">
        <v>100</v>
      </c>
      <c r="J104" s="504">
        <f t="shared" si="41"/>
        <v>400</v>
      </c>
      <c r="K104" s="504">
        <v>50</v>
      </c>
      <c r="L104" s="504">
        <f t="shared" si="42"/>
        <v>200</v>
      </c>
      <c r="M104" s="504">
        <f t="shared" si="43"/>
        <v>50</v>
      </c>
      <c r="N104" s="504">
        <f t="shared" si="44"/>
        <v>540</v>
      </c>
      <c r="O104" s="504">
        <f t="shared" si="45"/>
        <v>270</v>
      </c>
      <c r="P104" s="504">
        <v>0</v>
      </c>
      <c r="Q104" s="504">
        <f t="shared" si="37"/>
        <v>0</v>
      </c>
      <c r="R104" s="504">
        <f t="shared" si="47"/>
        <v>0</v>
      </c>
      <c r="S104" s="504">
        <f t="shared" si="39"/>
        <v>0</v>
      </c>
      <c r="T104" s="504">
        <f t="shared" si="40"/>
        <v>0</v>
      </c>
      <c r="U104" s="504">
        <f t="shared" si="33"/>
        <v>0</v>
      </c>
      <c r="V104" s="504">
        <f t="shared" si="46"/>
        <v>0</v>
      </c>
      <c r="W104" s="504" t="s">
        <v>1061</v>
      </c>
    </row>
    <row r="105" spans="1:23" ht="34.5" customHeight="1">
      <c r="A105" s="503">
        <v>101</v>
      </c>
      <c r="B105" s="502" t="s">
        <v>152</v>
      </c>
      <c r="C105" s="503" t="s">
        <v>158</v>
      </c>
      <c r="D105" s="1430" t="s">
        <v>159</v>
      </c>
      <c r="E105" s="1430"/>
      <c r="F105" s="502" t="s">
        <v>55</v>
      </c>
      <c r="G105" s="504">
        <v>18</v>
      </c>
      <c r="H105" s="504">
        <f t="shared" si="38"/>
        <v>6</v>
      </c>
      <c r="I105" s="504">
        <v>45</v>
      </c>
      <c r="J105" s="504">
        <f t="shared" si="41"/>
        <v>180</v>
      </c>
      <c r="K105" s="504">
        <v>15</v>
      </c>
      <c r="L105" s="504">
        <f t="shared" si="42"/>
        <v>60</v>
      </c>
      <c r="M105" s="504">
        <f t="shared" si="43"/>
        <v>15</v>
      </c>
      <c r="N105" s="504">
        <f t="shared" si="44"/>
        <v>242.99999999999997</v>
      </c>
      <c r="O105" s="504">
        <f t="shared" si="45"/>
        <v>80.99999999999999</v>
      </c>
      <c r="P105" s="504">
        <v>0</v>
      </c>
      <c r="Q105" s="504">
        <f t="shared" si="37"/>
        <v>0</v>
      </c>
      <c r="R105" s="504">
        <f t="shared" si="47"/>
        <v>0</v>
      </c>
      <c r="S105" s="504">
        <f t="shared" si="39"/>
        <v>0</v>
      </c>
      <c r="T105" s="504">
        <f t="shared" si="40"/>
        <v>0</v>
      </c>
      <c r="U105" s="504">
        <f t="shared" si="33"/>
        <v>0</v>
      </c>
      <c r="V105" s="504">
        <f t="shared" si="46"/>
        <v>0</v>
      </c>
      <c r="W105" s="504" t="s">
        <v>1061</v>
      </c>
    </row>
    <row r="106" spans="1:23" ht="34.5" customHeight="1">
      <c r="A106" s="503">
        <v>102</v>
      </c>
      <c r="B106" s="502" t="s">
        <v>152</v>
      </c>
      <c r="C106" s="503" t="s">
        <v>160</v>
      </c>
      <c r="D106" s="1430" t="s">
        <v>161</v>
      </c>
      <c r="E106" s="1430"/>
      <c r="F106" s="502" t="s">
        <v>55</v>
      </c>
      <c r="G106" s="504">
        <v>14</v>
      </c>
      <c r="H106" s="504">
        <f t="shared" si="38"/>
        <v>12.4</v>
      </c>
      <c r="I106" s="504">
        <v>35</v>
      </c>
      <c r="J106" s="504">
        <f t="shared" si="41"/>
        <v>140</v>
      </c>
      <c r="K106" s="504">
        <v>31</v>
      </c>
      <c r="L106" s="504">
        <f t="shared" si="42"/>
        <v>124</v>
      </c>
      <c r="M106" s="504">
        <f t="shared" si="43"/>
        <v>31</v>
      </c>
      <c r="N106" s="504">
        <f t="shared" si="44"/>
        <v>188.99999999999997</v>
      </c>
      <c r="O106" s="504">
        <f t="shared" si="45"/>
        <v>167.39999999999998</v>
      </c>
      <c r="P106" s="504">
        <v>0</v>
      </c>
      <c r="Q106" s="504">
        <f t="shared" si="37"/>
        <v>0</v>
      </c>
      <c r="R106" s="504">
        <f t="shared" si="47"/>
        <v>0</v>
      </c>
      <c r="S106" s="504">
        <f t="shared" si="39"/>
        <v>0</v>
      </c>
      <c r="T106" s="504">
        <f t="shared" si="40"/>
        <v>0</v>
      </c>
      <c r="U106" s="504">
        <f aca="true" t="shared" si="48" ref="U106:U135">+Q106-SUM(R106:T106)</f>
        <v>0</v>
      </c>
      <c r="V106" s="504">
        <f t="shared" si="46"/>
        <v>0</v>
      </c>
      <c r="W106" s="504" t="s">
        <v>1061</v>
      </c>
    </row>
    <row r="107" spans="1:23" ht="34.5" customHeight="1">
      <c r="A107" s="503">
        <v>103</v>
      </c>
      <c r="B107" s="502" t="s">
        <v>152</v>
      </c>
      <c r="C107" s="503" t="s">
        <v>160</v>
      </c>
      <c r="D107" s="1430" t="s">
        <v>162</v>
      </c>
      <c r="E107" s="1430"/>
      <c r="F107" s="502" t="s">
        <v>55</v>
      </c>
      <c r="G107" s="504">
        <v>22</v>
      </c>
      <c r="H107" s="504">
        <f t="shared" si="38"/>
        <v>4.321428571428571</v>
      </c>
      <c r="I107" s="504">
        <v>56</v>
      </c>
      <c r="J107" s="504">
        <f t="shared" si="41"/>
        <v>224</v>
      </c>
      <c r="K107" s="504">
        <v>11</v>
      </c>
      <c r="L107" s="504">
        <f t="shared" si="42"/>
        <v>44</v>
      </c>
      <c r="M107" s="504">
        <f t="shared" si="43"/>
        <v>11</v>
      </c>
      <c r="N107" s="504">
        <f t="shared" si="44"/>
        <v>302.4</v>
      </c>
      <c r="O107" s="504">
        <f t="shared" si="45"/>
        <v>59.39999999999999</v>
      </c>
      <c r="P107" s="504">
        <v>0</v>
      </c>
      <c r="Q107" s="504">
        <f t="shared" si="37"/>
        <v>0</v>
      </c>
      <c r="R107" s="504">
        <f t="shared" si="47"/>
        <v>0</v>
      </c>
      <c r="S107" s="504">
        <f t="shared" si="39"/>
        <v>0</v>
      </c>
      <c r="T107" s="504">
        <f t="shared" si="40"/>
        <v>0</v>
      </c>
      <c r="U107" s="504">
        <f t="shared" si="48"/>
        <v>0</v>
      </c>
      <c r="V107" s="504">
        <f t="shared" si="46"/>
        <v>0</v>
      </c>
      <c r="W107" s="504" t="s">
        <v>1061</v>
      </c>
    </row>
    <row r="108" spans="1:23" ht="34.5" customHeight="1">
      <c r="A108" s="503">
        <v>104</v>
      </c>
      <c r="B108" s="502" t="s">
        <v>152</v>
      </c>
      <c r="C108" s="503" t="s">
        <v>160</v>
      </c>
      <c r="D108" s="1430" t="s">
        <v>163</v>
      </c>
      <c r="E108" s="1430"/>
      <c r="F108" s="502" t="s">
        <v>55</v>
      </c>
      <c r="G108" s="504"/>
      <c r="H108" s="504">
        <f t="shared" si="38"/>
        <v>0</v>
      </c>
      <c r="I108" s="504">
        <v>70</v>
      </c>
      <c r="J108" s="504">
        <f t="shared" si="41"/>
        <v>280</v>
      </c>
      <c r="K108" s="504">
        <v>28</v>
      </c>
      <c r="L108" s="504">
        <f t="shared" si="42"/>
        <v>112</v>
      </c>
      <c r="M108" s="504">
        <f t="shared" si="43"/>
        <v>28</v>
      </c>
      <c r="N108" s="504">
        <f t="shared" si="44"/>
        <v>377.99999999999994</v>
      </c>
      <c r="O108" s="504">
        <f t="shared" si="45"/>
        <v>151.2</v>
      </c>
      <c r="P108" s="504">
        <v>0</v>
      </c>
      <c r="Q108" s="504">
        <f t="shared" si="37"/>
        <v>0</v>
      </c>
      <c r="R108" s="504">
        <f t="shared" si="47"/>
        <v>0</v>
      </c>
      <c r="S108" s="504">
        <f t="shared" si="39"/>
        <v>0</v>
      </c>
      <c r="T108" s="504">
        <f t="shared" si="40"/>
        <v>0</v>
      </c>
      <c r="U108" s="504">
        <f t="shared" si="48"/>
        <v>0</v>
      </c>
      <c r="V108" s="504">
        <f t="shared" si="46"/>
        <v>0</v>
      </c>
      <c r="W108" s="504" t="s">
        <v>1061</v>
      </c>
    </row>
    <row r="109" spans="1:23" ht="34.5" customHeight="1">
      <c r="A109" s="503">
        <v>105</v>
      </c>
      <c r="B109" s="502" t="s">
        <v>152</v>
      </c>
      <c r="C109" s="503" t="s">
        <v>160</v>
      </c>
      <c r="D109" s="1430" t="s">
        <v>164</v>
      </c>
      <c r="E109" s="1430"/>
      <c r="F109" s="502" t="s">
        <v>55</v>
      </c>
      <c r="G109" s="504">
        <v>10</v>
      </c>
      <c r="H109" s="504">
        <f t="shared" si="38"/>
        <v>3.6</v>
      </c>
      <c r="I109" s="504">
        <v>25</v>
      </c>
      <c r="J109" s="504">
        <f t="shared" si="41"/>
        <v>100</v>
      </c>
      <c r="K109" s="504">
        <v>9</v>
      </c>
      <c r="L109" s="504">
        <f t="shared" si="42"/>
        <v>36</v>
      </c>
      <c r="M109" s="504">
        <f t="shared" si="43"/>
        <v>9</v>
      </c>
      <c r="N109" s="504">
        <f t="shared" si="44"/>
        <v>135</v>
      </c>
      <c r="O109" s="504">
        <f t="shared" si="45"/>
        <v>48.599999999999994</v>
      </c>
      <c r="P109" s="504">
        <v>0</v>
      </c>
      <c r="Q109" s="504">
        <f t="shared" si="37"/>
        <v>0</v>
      </c>
      <c r="R109" s="504">
        <f t="shared" si="47"/>
        <v>0</v>
      </c>
      <c r="S109" s="504">
        <f t="shared" si="39"/>
        <v>0</v>
      </c>
      <c r="T109" s="504">
        <f t="shared" si="40"/>
        <v>0</v>
      </c>
      <c r="U109" s="504">
        <f t="shared" si="48"/>
        <v>0</v>
      </c>
      <c r="V109" s="504">
        <f t="shared" si="46"/>
        <v>0</v>
      </c>
      <c r="W109" s="504" t="s">
        <v>1061</v>
      </c>
    </row>
    <row r="110" spans="1:23" ht="34.5" customHeight="1">
      <c r="A110" s="503">
        <v>106</v>
      </c>
      <c r="B110" s="502" t="s">
        <v>152</v>
      </c>
      <c r="C110" s="503" t="s">
        <v>165</v>
      </c>
      <c r="D110" s="1430" t="s">
        <v>166</v>
      </c>
      <c r="E110" s="1430"/>
      <c r="F110" s="502" t="s">
        <v>55</v>
      </c>
      <c r="G110" s="504">
        <v>12</v>
      </c>
      <c r="H110" s="504">
        <f t="shared" si="38"/>
        <v>13.548387096774194</v>
      </c>
      <c r="I110" s="504">
        <v>31</v>
      </c>
      <c r="J110" s="504">
        <f t="shared" si="41"/>
        <v>124</v>
      </c>
      <c r="K110" s="504">
        <v>35</v>
      </c>
      <c r="L110" s="504">
        <f t="shared" si="42"/>
        <v>140</v>
      </c>
      <c r="M110" s="504">
        <f t="shared" si="43"/>
        <v>35</v>
      </c>
      <c r="N110" s="504">
        <f t="shared" si="44"/>
        <v>167.39999999999998</v>
      </c>
      <c r="O110" s="504">
        <f t="shared" si="45"/>
        <v>188.99999999999997</v>
      </c>
      <c r="P110" s="504">
        <v>0</v>
      </c>
      <c r="Q110" s="504">
        <f t="shared" si="37"/>
        <v>0</v>
      </c>
      <c r="R110" s="504">
        <f t="shared" si="47"/>
        <v>0</v>
      </c>
      <c r="S110" s="504">
        <f t="shared" si="39"/>
        <v>0</v>
      </c>
      <c r="T110" s="504">
        <f t="shared" si="40"/>
        <v>0</v>
      </c>
      <c r="U110" s="504">
        <f t="shared" si="48"/>
        <v>0</v>
      </c>
      <c r="V110" s="504">
        <f t="shared" si="46"/>
        <v>0</v>
      </c>
      <c r="W110" s="504" t="s">
        <v>1061</v>
      </c>
    </row>
    <row r="111" spans="1:23" ht="34.5" customHeight="1">
      <c r="A111" s="503">
        <v>107</v>
      </c>
      <c r="B111" s="502" t="s">
        <v>152</v>
      </c>
      <c r="C111" s="503" t="s">
        <v>165</v>
      </c>
      <c r="D111" s="1430" t="s">
        <v>167</v>
      </c>
      <c r="E111" s="1430"/>
      <c r="F111" s="502" t="s">
        <v>55</v>
      </c>
      <c r="G111" s="504">
        <v>24</v>
      </c>
      <c r="H111" s="504">
        <f t="shared" si="38"/>
        <v>18.4</v>
      </c>
      <c r="I111" s="504">
        <v>60</v>
      </c>
      <c r="J111" s="504">
        <f t="shared" si="41"/>
        <v>240</v>
      </c>
      <c r="K111" s="504">
        <v>46</v>
      </c>
      <c r="L111" s="504">
        <f t="shared" si="42"/>
        <v>184</v>
      </c>
      <c r="M111" s="504">
        <f t="shared" si="43"/>
        <v>46</v>
      </c>
      <c r="N111" s="504">
        <f t="shared" si="44"/>
        <v>323.99999999999994</v>
      </c>
      <c r="O111" s="504">
        <f t="shared" si="45"/>
        <v>248.39999999999998</v>
      </c>
      <c r="P111" s="504">
        <v>0</v>
      </c>
      <c r="Q111" s="504">
        <f t="shared" si="37"/>
        <v>0</v>
      </c>
      <c r="R111" s="504">
        <f t="shared" si="47"/>
        <v>0</v>
      </c>
      <c r="S111" s="504">
        <f t="shared" si="39"/>
        <v>0</v>
      </c>
      <c r="T111" s="504">
        <f t="shared" si="40"/>
        <v>0</v>
      </c>
      <c r="U111" s="504">
        <f t="shared" si="48"/>
        <v>0</v>
      </c>
      <c r="V111" s="504">
        <f t="shared" si="46"/>
        <v>0</v>
      </c>
      <c r="W111" s="504" t="s">
        <v>1061</v>
      </c>
    </row>
    <row r="112" spans="1:23" ht="34.5" customHeight="1">
      <c r="A112" s="503">
        <v>108</v>
      </c>
      <c r="B112" s="502" t="s">
        <v>152</v>
      </c>
      <c r="C112" s="503" t="s">
        <v>165</v>
      </c>
      <c r="D112" s="1430" t="s">
        <v>168</v>
      </c>
      <c r="E112" s="1430"/>
      <c r="F112" s="502" t="s">
        <v>55</v>
      </c>
      <c r="G112" s="504">
        <v>20</v>
      </c>
      <c r="H112" s="504">
        <f t="shared" si="38"/>
        <v>16.4</v>
      </c>
      <c r="I112" s="504">
        <v>50</v>
      </c>
      <c r="J112" s="504">
        <f t="shared" si="41"/>
        <v>200</v>
      </c>
      <c r="K112" s="504">
        <v>41</v>
      </c>
      <c r="L112" s="504">
        <f t="shared" si="42"/>
        <v>164</v>
      </c>
      <c r="M112" s="504">
        <f t="shared" si="43"/>
        <v>41</v>
      </c>
      <c r="N112" s="504">
        <f t="shared" si="44"/>
        <v>270</v>
      </c>
      <c r="O112" s="504">
        <f t="shared" si="45"/>
        <v>221.39999999999998</v>
      </c>
      <c r="P112" s="504">
        <v>0</v>
      </c>
      <c r="Q112" s="504">
        <f t="shared" si="37"/>
        <v>0</v>
      </c>
      <c r="R112" s="504">
        <f t="shared" si="47"/>
        <v>0</v>
      </c>
      <c r="S112" s="504">
        <f t="shared" si="39"/>
        <v>0</v>
      </c>
      <c r="T112" s="504">
        <f t="shared" si="40"/>
        <v>0</v>
      </c>
      <c r="U112" s="504">
        <f t="shared" si="48"/>
        <v>0</v>
      </c>
      <c r="V112" s="504">
        <f t="shared" si="46"/>
        <v>0</v>
      </c>
      <c r="W112" s="504" t="s">
        <v>1061</v>
      </c>
    </row>
    <row r="113" spans="1:23" ht="34.5" customHeight="1">
      <c r="A113" s="503">
        <v>109</v>
      </c>
      <c r="B113" s="502" t="s">
        <v>152</v>
      </c>
      <c r="C113" s="503" t="s">
        <v>169</v>
      </c>
      <c r="D113" s="1430" t="s">
        <v>170</v>
      </c>
      <c r="E113" s="1430"/>
      <c r="F113" s="502" t="s">
        <v>55</v>
      </c>
      <c r="G113" s="504">
        <v>34</v>
      </c>
      <c r="H113" s="504">
        <f t="shared" si="38"/>
        <v>18.8</v>
      </c>
      <c r="I113" s="504">
        <v>85</v>
      </c>
      <c r="J113" s="504">
        <f t="shared" si="41"/>
        <v>340</v>
      </c>
      <c r="K113" s="504">
        <v>47</v>
      </c>
      <c r="L113" s="504">
        <f t="shared" si="42"/>
        <v>188</v>
      </c>
      <c r="M113" s="504">
        <f t="shared" si="43"/>
        <v>47</v>
      </c>
      <c r="N113" s="504">
        <f t="shared" si="44"/>
        <v>458.99999999999994</v>
      </c>
      <c r="O113" s="504">
        <f t="shared" si="45"/>
        <v>253.79999999999998</v>
      </c>
      <c r="P113" s="504" t="s">
        <v>69</v>
      </c>
      <c r="Q113" s="504">
        <f>2000*K113</f>
        <v>94000</v>
      </c>
      <c r="R113" s="504">
        <f t="shared" si="47"/>
        <v>61100</v>
      </c>
      <c r="S113" s="504">
        <v>0</v>
      </c>
      <c r="T113" s="504">
        <v>0</v>
      </c>
      <c r="U113" s="504">
        <f t="shared" si="48"/>
        <v>32900</v>
      </c>
      <c r="V113" s="504">
        <f t="shared" si="46"/>
        <v>94000</v>
      </c>
      <c r="W113" s="504" t="s">
        <v>1061</v>
      </c>
    </row>
    <row r="114" spans="1:23" ht="34.5" customHeight="1">
      <c r="A114" s="503">
        <v>110</v>
      </c>
      <c r="B114" s="502" t="s">
        <v>152</v>
      </c>
      <c r="C114" s="503" t="s">
        <v>169</v>
      </c>
      <c r="D114" s="1430" t="s">
        <v>171</v>
      </c>
      <c r="E114" s="1430"/>
      <c r="F114" s="502" t="s">
        <v>55</v>
      </c>
      <c r="G114" s="504"/>
      <c r="H114" s="504"/>
      <c r="I114" s="504"/>
      <c r="J114" s="504">
        <f t="shared" si="41"/>
        <v>0</v>
      </c>
      <c r="K114" s="504">
        <v>7</v>
      </c>
      <c r="L114" s="504">
        <f t="shared" si="42"/>
        <v>28</v>
      </c>
      <c r="M114" s="504">
        <f t="shared" si="43"/>
        <v>7</v>
      </c>
      <c r="N114" s="504">
        <f t="shared" si="44"/>
        <v>0</v>
      </c>
      <c r="O114" s="504">
        <f t="shared" si="45"/>
        <v>37.8</v>
      </c>
      <c r="P114" s="504" t="s">
        <v>172</v>
      </c>
      <c r="Q114" s="504">
        <f>500*K114</f>
        <v>3500</v>
      </c>
      <c r="R114" s="504">
        <f t="shared" si="47"/>
        <v>2275</v>
      </c>
      <c r="S114" s="504">
        <v>0</v>
      </c>
      <c r="T114" s="504">
        <v>0</v>
      </c>
      <c r="U114" s="504">
        <f t="shared" si="48"/>
        <v>1225</v>
      </c>
      <c r="V114" s="504">
        <f t="shared" si="46"/>
        <v>3500</v>
      </c>
      <c r="W114" s="504" t="s">
        <v>1061</v>
      </c>
    </row>
    <row r="115" spans="1:23" ht="34.5" customHeight="1">
      <c r="A115" s="503">
        <v>111</v>
      </c>
      <c r="B115" s="502" t="s">
        <v>152</v>
      </c>
      <c r="C115" s="503" t="s">
        <v>169</v>
      </c>
      <c r="D115" s="1430" t="s">
        <v>173</v>
      </c>
      <c r="E115" s="1430"/>
      <c r="F115" s="502" t="s">
        <v>55</v>
      </c>
      <c r="G115" s="504">
        <v>89</v>
      </c>
      <c r="H115" s="504">
        <f aca="true" t="shared" si="49" ref="H115:H135">+G115*L115/J115</f>
        <v>63.28888888888889</v>
      </c>
      <c r="I115" s="504">
        <v>225</v>
      </c>
      <c r="J115" s="504">
        <f t="shared" si="41"/>
        <v>900</v>
      </c>
      <c r="K115" s="504">
        <v>160</v>
      </c>
      <c r="L115" s="504">
        <f t="shared" si="42"/>
        <v>640</v>
      </c>
      <c r="M115" s="504">
        <f t="shared" si="43"/>
        <v>160</v>
      </c>
      <c r="N115" s="504">
        <f t="shared" si="44"/>
        <v>1214.9999999999998</v>
      </c>
      <c r="O115" s="504">
        <f t="shared" si="45"/>
        <v>863.9999999999999</v>
      </c>
      <c r="P115" s="504">
        <v>1000</v>
      </c>
      <c r="Q115" s="504">
        <f>+P115*O115</f>
        <v>863999.9999999999</v>
      </c>
      <c r="R115" s="504">
        <f t="shared" si="47"/>
        <v>561600</v>
      </c>
      <c r="S115" s="504">
        <v>0</v>
      </c>
      <c r="T115" s="504">
        <v>0</v>
      </c>
      <c r="U115" s="504">
        <f t="shared" si="48"/>
        <v>302399.9999999999</v>
      </c>
      <c r="V115" s="504">
        <f t="shared" si="46"/>
        <v>863999.9999999999</v>
      </c>
      <c r="W115" s="504" t="s">
        <v>1061</v>
      </c>
    </row>
    <row r="116" spans="1:23" ht="34.5" customHeight="1">
      <c r="A116" s="503">
        <v>112</v>
      </c>
      <c r="B116" s="502" t="s">
        <v>152</v>
      </c>
      <c r="C116" s="503" t="s">
        <v>174</v>
      </c>
      <c r="D116" s="1430" t="s">
        <v>175</v>
      </c>
      <c r="E116" s="1430"/>
      <c r="F116" s="502" t="s">
        <v>55</v>
      </c>
      <c r="G116" s="504">
        <v>23</v>
      </c>
      <c r="H116" s="504">
        <f t="shared" si="49"/>
        <v>8.070175438596491</v>
      </c>
      <c r="I116" s="504">
        <v>57</v>
      </c>
      <c r="J116" s="504">
        <f t="shared" si="41"/>
        <v>228</v>
      </c>
      <c r="K116" s="504">
        <v>20</v>
      </c>
      <c r="L116" s="504">
        <f t="shared" si="42"/>
        <v>80</v>
      </c>
      <c r="M116" s="504">
        <f t="shared" si="43"/>
        <v>20</v>
      </c>
      <c r="N116" s="504">
        <f t="shared" si="44"/>
        <v>307.79999999999995</v>
      </c>
      <c r="O116" s="504">
        <f t="shared" si="45"/>
        <v>107.99999999999999</v>
      </c>
      <c r="P116" s="504">
        <v>0</v>
      </c>
      <c r="Q116" s="504">
        <f>+P116*O116</f>
        <v>0</v>
      </c>
      <c r="R116" s="504">
        <f t="shared" si="47"/>
        <v>0</v>
      </c>
      <c r="S116" s="504">
        <f>+Q116*0.25</f>
        <v>0</v>
      </c>
      <c r="T116" s="504">
        <f>+Q116*0.05</f>
        <v>0</v>
      </c>
      <c r="U116" s="504">
        <f t="shared" si="48"/>
        <v>0</v>
      </c>
      <c r="V116" s="504">
        <f t="shared" si="46"/>
        <v>0</v>
      </c>
      <c r="W116" s="504" t="s">
        <v>1061</v>
      </c>
    </row>
    <row r="117" spans="1:23" ht="34.5" customHeight="1">
      <c r="A117" s="503">
        <v>113</v>
      </c>
      <c r="B117" s="502" t="s">
        <v>152</v>
      </c>
      <c r="C117" s="503" t="s">
        <v>174</v>
      </c>
      <c r="D117" s="1430" t="s">
        <v>176</v>
      </c>
      <c r="E117" s="1430"/>
      <c r="F117" s="502" t="s">
        <v>55</v>
      </c>
      <c r="G117" s="504">
        <v>23</v>
      </c>
      <c r="H117" s="504">
        <f t="shared" si="49"/>
        <v>5.8474576271186445</v>
      </c>
      <c r="I117" s="504">
        <v>59</v>
      </c>
      <c r="J117" s="504">
        <f t="shared" si="41"/>
        <v>236</v>
      </c>
      <c r="K117" s="504">
        <v>15</v>
      </c>
      <c r="L117" s="504">
        <f t="shared" si="42"/>
        <v>60</v>
      </c>
      <c r="M117" s="504">
        <f t="shared" si="43"/>
        <v>15</v>
      </c>
      <c r="N117" s="504">
        <f t="shared" si="44"/>
        <v>318.59999999999997</v>
      </c>
      <c r="O117" s="504">
        <f t="shared" si="45"/>
        <v>80.99999999999999</v>
      </c>
      <c r="P117" s="504">
        <v>0</v>
      </c>
      <c r="Q117" s="504">
        <f>+P117*O117</f>
        <v>0</v>
      </c>
      <c r="R117" s="504">
        <f t="shared" si="47"/>
        <v>0</v>
      </c>
      <c r="S117" s="504">
        <f>+Q117*0.25</f>
        <v>0</v>
      </c>
      <c r="T117" s="504">
        <f>+Q117*0.05</f>
        <v>0</v>
      </c>
      <c r="U117" s="504">
        <f t="shared" si="48"/>
        <v>0</v>
      </c>
      <c r="V117" s="504">
        <f t="shared" si="46"/>
        <v>0</v>
      </c>
      <c r="W117" s="504" t="s">
        <v>1061</v>
      </c>
    </row>
    <row r="118" spans="1:23" ht="34.5" customHeight="1">
      <c r="A118" s="503">
        <v>114</v>
      </c>
      <c r="B118" s="502" t="s">
        <v>152</v>
      </c>
      <c r="C118" s="503" t="s">
        <v>177</v>
      </c>
      <c r="D118" s="1430" t="s">
        <v>178</v>
      </c>
      <c r="E118" s="1430"/>
      <c r="F118" s="502" t="s">
        <v>55</v>
      </c>
      <c r="G118" s="504">
        <v>26</v>
      </c>
      <c r="H118" s="504">
        <f t="shared" si="49"/>
        <v>26</v>
      </c>
      <c r="I118" s="504">
        <v>65</v>
      </c>
      <c r="J118" s="504">
        <f t="shared" si="41"/>
        <v>260</v>
      </c>
      <c r="K118" s="504">
        <v>65</v>
      </c>
      <c r="L118" s="504">
        <f t="shared" si="42"/>
        <v>260</v>
      </c>
      <c r="M118" s="504">
        <f t="shared" si="43"/>
        <v>65</v>
      </c>
      <c r="N118" s="504">
        <f t="shared" si="44"/>
        <v>350.99999999999994</v>
      </c>
      <c r="O118" s="504">
        <f t="shared" si="45"/>
        <v>350.99999999999994</v>
      </c>
      <c r="P118" s="504" t="s">
        <v>179</v>
      </c>
      <c r="Q118" s="504">
        <f>5000*K118</f>
        <v>325000</v>
      </c>
      <c r="R118" s="504">
        <f t="shared" si="47"/>
        <v>211250</v>
      </c>
      <c r="S118" s="504">
        <v>0</v>
      </c>
      <c r="T118" s="504">
        <v>0</v>
      </c>
      <c r="U118" s="504">
        <f t="shared" si="48"/>
        <v>113750</v>
      </c>
      <c r="V118" s="504">
        <f t="shared" si="46"/>
        <v>325000</v>
      </c>
      <c r="W118" s="504" t="s">
        <v>1061</v>
      </c>
    </row>
    <row r="119" spans="1:23" ht="34.5" customHeight="1">
      <c r="A119" s="503">
        <v>115</v>
      </c>
      <c r="B119" s="502" t="s">
        <v>152</v>
      </c>
      <c r="C119" s="503" t="s">
        <v>180</v>
      </c>
      <c r="D119" s="1430" t="s">
        <v>181</v>
      </c>
      <c r="E119" s="1430"/>
      <c r="F119" s="502" t="s">
        <v>55</v>
      </c>
      <c r="G119" s="504"/>
      <c r="H119" s="504">
        <f t="shared" si="49"/>
        <v>0</v>
      </c>
      <c r="I119" s="504">
        <v>56</v>
      </c>
      <c r="J119" s="504">
        <f t="shared" si="41"/>
        <v>224</v>
      </c>
      <c r="K119" s="504">
        <v>56</v>
      </c>
      <c r="L119" s="504">
        <f t="shared" si="42"/>
        <v>224</v>
      </c>
      <c r="M119" s="504">
        <f t="shared" si="43"/>
        <v>56</v>
      </c>
      <c r="N119" s="504">
        <f t="shared" si="44"/>
        <v>302.4</v>
      </c>
      <c r="O119" s="504">
        <f t="shared" si="45"/>
        <v>302.4</v>
      </c>
      <c r="P119" s="504" t="s">
        <v>182</v>
      </c>
      <c r="Q119" s="504">
        <f>+K119*24000</f>
        <v>1344000</v>
      </c>
      <c r="R119" s="504">
        <f t="shared" si="47"/>
        <v>873600</v>
      </c>
      <c r="S119" s="504">
        <v>0</v>
      </c>
      <c r="T119" s="504">
        <v>0</v>
      </c>
      <c r="U119" s="504">
        <f t="shared" si="48"/>
        <v>470400</v>
      </c>
      <c r="V119" s="504">
        <f t="shared" si="46"/>
        <v>1344000</v>
      </c>
      <c r="W119" s="504" t="s">
        <v>1061</v>
      </c>
    </row>
    <row r="120" spans="1:23" ht="34.5" customHeight="1">
      <c r="A120" s="503">
        <v>116</v>
      </c>
      <c r="B120" s="502" t="s">
        <v>152</v>
      </c>
      <c r="C120" s="503" t="s">
        <v>183</v>
      </c>
      <c r="D120" s="1430" t="s">
        <v>184</v>
      </c>
      <c r="E120" s="1430"/>
      <c r="F120" s="502" t="s">
        <v>55</v>
      </c>
      <c r="G120" s="504">
        <v>19</v>
      </c>
      <c r="H120" s="504">
        <f t="shared" si="49"/>
        <v>24.7</v>
      </c>
      <c r="I120" s="504">
        <v>50</v>
      </c>
      <c r="J120" s="504">
        <f t="shared" si="41"/>
        <v>200</v>
      </c>
      <c r="K120" s="504">
        <v>65</v>
      </c>
      <c r="L120" s="504">
        <f t="shared" si="42"/>
        <v>260</v>
      </c>
      <c r="M120" s="504">
        <f t="shared" si="43"/>
        <v>65</v>
      </c>
      <c r="N120" s="504">
        <f t="shared" si="44"/>
        <v>270</v>
      </c>
      <c r="O120" s="504">
        <f t="shared" si="45"/>
        <v>350.99999999999994</v>
      </c>
      <c r="P120" s="504" t="s">
        <v>179</v>
      </c>
      <c r="Q120" s="504">
        <f>5000*K120</f>
        <v>325000</v>
      </c>
      <c r="R120" s="504">
        <f t="shared" si="47"/>
        <v>211250</v>
      </c>
      <c r="S120" s="504">
        <v>0</v>
      </c>
      <c r="T120" s="504">
        <v>0</v>
      </c>
      <c r="U120" s="504">
        <f t="shared" si="48"/>
        <v>113750</v>
      </c>
      <c r="V120" s="504">
        <f t="shared" si="46"/>
        <v>325000</v>
      </c>
      <c r="W120" s="504" t="s">
        <v>1061</v>
      </c>
    </row>
    <row r="121" spans="1:23" ht="34.5" customHeight="1">
      <c r="A121" s="503">
        <v>117</v>
      </c>
      <c r="B121" s="502" t="s">
        <v>152</v>
      </c>
      <c r="C121" s="503" t="s">
        <v>183</v>
      </c>
      <c r="D121" s="1430" t="s">
        <v>185</v>
      </c>
      <c r="E121" s="1430"/>
      <c r="F121" s="502" t="s">
        <v>55</v>
      </c>
      <c r="G121" s="504">
        <v>142</v>
      </c>
      <c r="H121" s="504">
        <f t="shared" si="49"/>
        <v>88.19875776397515</v>
      </c>
      <c r="I121" s="504">
        <v>161</v>
      </c>
      <c r="J121" s="504">
        <f t="shared" si="41"/>
        <v>644</v>
      </c>
      <c r="K121" s="504">
        <v>100</v>
      </c>
      <c r="L121" s="504">
        <f t="shared" si="42"/>
        <v>400</v>
      </c>
      <c r="M121" s="504">
        <f t="shared" si="43"/>
        <v>100</v>
      </c>
      <c r="N121" s="504">
        <f t="shared" si="44"/>
        <v>869.3999999999999</v>
      </c>
      <c r="O121" s="504">
        <f t="shared" si="45"/>
        <v>540</v>
      </c>
      <c r="P121" s="504">
        <v>0</v>
      </c>
      <c r="Q121" s="504">
        <f>+P121*O121</f>
        <v>0</v>
      </c>
      <c r="R121" s="504">
        <f t="shared" si="47"/>
        <v>0</v>
      </c>
      <c r="S121" s="504">
        <f>+Q121*0.25</f>
        <v>0</v>
      </c>
      <c r="T121" s="504">
        <f>+Q121*0.05</f>
        <v>0</v>
      </c>
      <c r="U121" s="504">
        <f t="shared" si="48"/>
        <v>0</v>
      </c>
      <c r="V121" s="504">
        <f t="shared" si="46"/>
        <v>0</v>
      </c>
      <c r="W121" s="504" t="s">
        <v>1061</v>
      </c>
    </row>
    <row r="122" spans="1:23" ht="34.5" customHeight="1">
      <c r="A122" s="503">
        <v>118</v>
      </c>
      <c r="B122" s="502" t="s">
        <v>152</v>
      </c>
      <c r="C122" s="503" t="s">
        <v>183</v>
      </c>
      <c r="D122" s="1430" t="s">
        <v>157</v>
      </c>
      <c r="E122" s="1430"/>
      <c r="F122" s="502" t="s">
        <v>55</v>
      </c>
      <c r="G122" s="504">
        <v>49</v>
      </c>
      <c r="H122" s="504">
        <f t="shared" si="49"/>
        <v>46.15942028985507</v>
      </c>
      <c r="I122" s="504">
        <v>69</v>
      </c>
      <c r="J122" s="504">
        <f t="shared" si="41"/>
        <v>276</v>
      </c>
      <c r="K122" s="504">
        <v>65</v>
      </c>
      <c r="L122" s="504">
        <f t="shared" si="42"/>
        <v>260</v>
      </c>
      <c r="M122" s="504">
        <f t="shared" si="43"/>
        <v>65</v>
      </c>
      <c r="N122" s="504">
        <f t="shared" si="44"/>
        <v>372.59999999999997</v>
      </c>
      <c r="O122" s="504">
        <f t="shared" si="45"/>
        <v>350.99999999999994</v>
      </c>
      <c r="P122" s="504" t="s">
        <v>186</v>
      </c>
      <c r="Q122" s="504">
        <f>30000*K122/12</f>
        <v>162500</v>
      </c>
      <c r="R122" s="504">
        <f t="shared" si="47"/>
        <v>105625</v>
      </c>
      <c r="S122" s="504">
        <v>0</v>
      </c>
      <c r="T122" s="504">
        <v>0</v>
      </c>
      <c r="U122" s="504">
        <f t="shared" si="48"/>
        <v>56875</v>
      </c>
      <c r="V122" s="504">
        <f t="shared" si="46"/>
        <v>162500</v>
      </c>
      <c r="W122" s="504" t="s">
        <v>1061</v>
      </c>
    </row>
    <row r="123" spans="1:23" ht="34.5" customHeight="1">
      <c r="A123" s="503">
        <v>119</v>
      </c>
      <c r="B123" s="502" t="s">
        <v>152</v>
      </c>
      <c r="C123" s="503" t="s">
        <v>183</v>
      </c>
      <c r="D123" s="1430" t="s">
        <v>187</v>
      </c>
      <c r="E123" s="1430"/>
      <c r="F123" s="502" t="s">
        <v>55</v>
      </c>
      <c r="G123" s="504">
        <v>90</v>
      </c>
      <c r="H123" s="504">
        <f t="shared" si="49"/>
        <v>21</v>
      </c>
      <c r="I123" s="504">
        <v>120</v>
      </c>
      <c r="J123" s="504">
        <f t="shared" si="41"/>
        <v>480</v>
      </c>
      <c r="K123" s="504">
        <v>28</v>
      </c>
      <c r="L123" s="504">
        <f t="shared" si="42"/>
        <v>112</v>
      </c>
      <c r="M123" s="504">
        <f t="shared" si="43"/>
        <v>28</v>
      </c>
      <c r="N123" s="504">
        <f t="shared" si="44"/>
        <v>647.9999999999999</v>
      </c>
      <c r="O123" s="504">
        <f t="shared" si="45"/>
        <v>151.2</v>
      </c>
      <c r="P123" s="504" t="s">
        <v>58</v>
      </c>
      <c r="Q123" s="504">
        <f>20000*K123/12</f>
        <v>46666.666666666664</v>
      </c>
      <c r="R123" s="504">
        <f t="shared" si="47"/>
        <v>30333.333333333332</v>
      </c>
      <c r="S123" s="504">
        <v>0</v>
      </c>
      <c r="T123" s="504">
        <v>0</v>
      </c>
      <c r="U123" s="504">
        <f t="shared" si="48"/>
        <v>16333.333333333332</v>
      </c>
      <c r="V123" s="504">
        <f t="shared" si="46"/>
        <v>46666.666666666664</v>
      </c>
      <c r="W123" s="504" t="s">
        <v>1061</v>
      </c>
    </row>
    <row r="124" spans="1:23" ht="34.5" customHeight="1">
      <c r="A124" s="503">
        <v>120</v>
      </c>
      <c r="B124" s="502" t="s">
        <v>152</v>
      </c>
      <c r="C124" s="503" t="s">
        <v>183</v>
      </c>
      <c r="D124" s="1430" t="s">
        <v>188</v>
      </c>
      <c r="E124" s="1430"/>
      <c r="F124" s="502" t="s">
        <v>55</v>
      </c>
      <c r="G124" s="504">
        <v>37</v>
      </c>
      <c r="H124" s="504">
        <f t="shared" si="49"/>
        <v>24.666666666666668</v>
      </c>
      <c r="I124" s="504">
        <v>45</v>
      </c>
      <c r="J124" s="504">
        <f t="shared" si="41"/>
        <v>180</v>
      </c>
      <c r="K124" s="504">
        <v>30</v>
      </c>
      <c r="L124" s="504">
        <f t="shared" si="42"/>
        <v>120</v>
      </c>
      <c r="M124" s="504">
        <f t="shared" si="43"/>
        <v>30</v>
      </c>
      <c r="N124" s="504">
        <f t="shared" si="44"/>
        <v>242.99999999999997</v>
      </c>
      <c r="O124" s="504">
        <f t="shared" si="45"/>
        <v>161.99999999999997</v>
      </c>
      <c r="P124" s="504" t="s">
        <v>58</v>
      </c>
      <c r="Q124" s="504">
        <f>20000*K124/12</f>
        <v>50000</v>
      </c>
      <c r="R124" s="504">
        <f t="shared" si="47"/>
        <v>32500</v>
      </c>
      <c r="S124" s="504">
        <v>0</v>
      </c>
      <c r="T124" s="504">
        <v>0</v>
      </c>
      <c r="U124" s="504">
        <f t="shared" si="48"/>
        <v>17500</v>
      </c>
      <c r="V124" s="504">
        <f t="shared" si="46"/>
        <v>50000</v>
      </c>
      <c r="W124" s="504" t="s">
        <v>1061</v>
      </c>
    </row>
    <row r="125" spans="1:23" ht="34.5" customHeight="1">
      <c r="A125" s="503">
        <v>121</v>
      </c>
      <c r="B125" s="502" t="s">
        <v>152</v>
      </c>
      <c r="C125" s="503" t="s">
        <v>183</v>
      </c>
      <c r="D125" s="1430" t="s">
        <v>189</v>
      </c>
      <c r="E125" s="1430"/>
      <c r="F125" s="502" t="s">
        <v>55</v>
      </c>
      <c r="G125" s="504">
        <v>54</v>
      </c>
      <c r="H125" s="504">
        <f t="shared" si="49"/>
        <v>47.64705882352941</v>
      </c>
      <c r="I125" s="504">
        <v>136</v>
      </c>
      <c r="J125" s="504">
        <f t="shared" si="41"/>
        <v>544</v>
      </c>
      <c r="K125" s="504">
        <v>120</v>
      </c>
      <c r="L125" s="504">
        <f t="shared" si="42"/>
        <v>480</v>
      </c>
      <c r="M125" s="504">
        <f t="shared" si="43"/>
        <v>120</v>
      </c>
      <c r="N125" s="504">
        <f t="shared" si="44"/>
        <v>734.4</v>
      </c>
      <c r="O125" s="504">
        <f t="shared" si="45"/>
        <v>647.9999999999999</v>
      </c>
      <c r="P125" s="504" t="s">
        <v>179</v>
      </c>
      <c r="Q125" s="504">
        <f>5000*K125</f>
        <v>600000</v>
      </c>
      <c r="R125" s="504">
        <f t="shared" si="47"/>
        <v>390000</v>
      </c>
      <c r="S125" s="504">
        <v>0</v>
      </c>
      <c r="T125" s="504">
        <v>0</v>
      </c>
      <c r="U125" s="504">
        <f t="shared" si="48"/>
        <v>210000</v>
      </c>
      <c r="V125" s="504">
        <f t="shared" si="46"/>
        <v>600000</v>
      </c>
      <c r="W125" s="504" t="s">
        <v>1061</v>
      </c>
    </row>
    <row r="126" spans="1:23" ht="34.5" customHeight="1">
      <c r="A126" s="503">
        <v>122</v>
      </c>
      <c r="B126" s="502" t="s">
        <v>152</v>
      </c>
      <c r="C126" s="503" t="s">
        <v>183</v>
      </c>
      <c r="D126" s="1430" t="s">
        <v>190</v>
      </c>
      <c r="E126" s="1430"/>
      <c r="F126" s="502" t="s">
        <v>55</v>
      </c>
      <c r="G126" s="504"/>
      <c r="H126" s="504">
        <f t="shared" si="49"/>
        <v>0</v>
      </c>
      <c r="I126" s="504">
        <v>83</v>
      </c>
      <c r="J126" s="504">
        <f t="shared" si="41"/>
        <v>332</v>
      </c>
      <c r="K126" s="504">
        <v>42</v>
      </c>
      <c r="L126" s="504">
        <f t="shared" si="42"/>
        <v>168</v>
      </c>
      <c r="M126" s="504">
        <f t="shared" si="43"/>
        <v>42</v>
      </c>
      <c r="N126" s="504">
        <f t="shared" si="44"/>
        <v>448.19999999999993</v>
      </c>
      <c r="O126" s="504">
        <f t="shared" si="45"/>
        <v>226.79999999999998</v>
      </c>
      <c r="P126" s="504">
        <v>0</v>
      </c>
      <c r="Q126" s="504">
        <f aca="true" t="shared" si="50" ref="Q126:Q134">+P126*O126</f>
        <v>0</v>
      </c>
      <c r="R126" s="504">
        <f t="shared" si="47"/>
        <v>0</v>
      </c>
      <c r="S126" s="504">
        <f>+Q126*0.25</f>
        <v>0</v>
      </c>
      <c r="T126" s="504">
        <f>+Q126*0.05</f>
        <v>0</v>
      </c>
      <c r="U126" s="504">
        <f t="shared" si="48"/>
        <v>0</v>
      </c>
      <c r="V126" s="504">
        <f t="shared" si="46"/>
        <v>0</v>
      </c>
      <c r="W126" s="504" t="s">
        <v>1061</v>
      </c>
    </row>
    <row r="127" spans="1:23" ht="34.5" customHeight="1">
      <c r="A127" s="503">
        <v>123</v>
      </c>
      <c r="B127" s="502" t="s">
        <v>152</v>
      </c>
      <c r="C127" s="503" t="s">
        <v>191</v>
      </c>
      <c r="D127" s="1430" t="s">
        <v>192</v>
      </c>
      <c r="E127" s="1430"/>
      <c r="F127" s="502" t="s">
        <v>55</v>
      </c>
      <c r="G127" s="504">
        <v>39</v>
      </c>
      <c r="H127" s="504">
        <f t="shared" si="49"/>
        <v>39</v>
      </c>
      <c r="I127" s="504">
        <v>97</v>
      </c>
      <c r="J127" s="504">
        <f t="shared" si="41"/>
        <v>388</v>
      </c>
      <c r="K127" s="504">
        <v>97</v>
      </c>
      <c r="L127" s="504">
        <f t="shared" si="42"/>
        <v>388</v>
      </c>
      <c r="M127" s="504">
        <f t="shared" si="43"/>
        <v>97</v>
      </c>
      <c r="N127" s="504">
        <f t="shared" si="44"/>
        <v>523.8</v>
      </c>
      <c r="O127" s="504">
        <f t="shared" si="45"/>
        <v>523.8</v>
      </c>
      <c r="P127" s="504">
        <v>500</v>
      </c>
      <c r="Q127" s="504">
        <f t="shared" si="50"/>
        <v>261899.99999999997</v>
      </c>
      <c r="R127" s="504">
        <f t="shared" si="47"/>
        <v>170235</v>
      </c>
      <c r="S127" s="504">
        <v>0</v>
      </c>
      <c r="T127" s="504">
        <v>0</v>
      </c>
      <c r="U127" s="504">
        <f t="shared" si="48"/>
        <v>91664.99999999997</v>
      </c>
      <c r="V127" s="504">
        <f t="shared" si="46"/>
        <v>261899.99999999997</v>
      </c>
      <c r="W127" s="504" t="s">
        <v>1061</v>
      </c>
    </row>
    <row r="128" spans="1:23" ht="34.5" customHeight="1">
      <c r="A128" s="503">
        <v>124</v>
      </c>
      <c r="B128" s="502" t="s">
        <v>152</v>
      </c>
      <c r="C128" s="503" t="s">
        <v>767</v>
      </c>
      <c r="D128" s="1430" t="s">
        <v>193</v>
      </c>
      <c r="E128" s="1430"/>
      <c r="F128" s="502" t="s">
        <v>55</v>
      </c>
      <c r="G128" s="504">
        <v>175</v>
      </c>
      <c r="H128" s="504">
        <f t="shared" si="49"/>
        <v>64.28571428571429</v>
      </c>
      <c r="I128" s="504">
        <v>245</v>
      </c>
      <c r="J128" s="504">
        <f t="shared" si="41"/>
        <v>980</v>
      </c>
      <c r="K128" s="504">
        <v>90</v>
      </c>
      <c r="L128" s="504">
        <f t="shared" si="42"/>
        <v>360</v>
      </c>
      <c r="M128" s="504">
        <f t="shared" si="43"/>
        <v>90</v>
      </c>
      <c r="N128" s="504">
        <f t="shared" si="44"/>
        <v>1322.9999999999998</v>
      </c>
      <c r="O128" s="504">
        <f t="shared" si="45"/>
        <v>485.99999999999994</v>
      </c>
      <c r="P128" s="504">
        <v>0</v>
      </c>
      <c r="Q128" s="504">
        <f t="shared" si="50"/>
        <v>0</v>
      </c>
      <c r="R128" s="504">
        <f t="shared" si="47"/>
        <v>0</v>
      </c>
      <c r="S128" s="504">
        <f>+Q128*0.25</f>
        <v>0</v>
      </c>
      <c r="T128" s="504">
        <f>+Q128*0.05</f>
        <v>0</v>
      </c>
      <c r="U128" s="504">
        <f t="shared" si="48"/>
        <v>0</v>
      </c>
      <c r="V128" s="504">
        <f t="shared" si="46"/>
        <v>0</v>
      </c>
      <c r="W128" s="504" t="s">
        <v>1061</v>
      </c>
    </row>
    <row r="129" spans="1:23" ht="34.5" customHeight="1">
      <c r="A129" s="503">
        <v>125</v>
      </c>
      <c r="B129" s="502" t="s">
        <v>152</v>
      </c>
      <c r="C129" s="503" t="s">
        <v>767</v>
      </c>
      <c r="D129" s="1430" t="s">
        <v>194</v>
      </c>
      <c r="E129" s="1430"/>
      <c r="F129" s="502" t="s">
        <v>55</v>
      </c>
      <c r="G129" s="504">
        <v>51</v>
      </c>
      <c r="H129" s="504">
        <f t="shared" si="49"/>
        <v>47.44186046511628</v>
      </c>
      <c r="I129" s="504">
        <v>129</v>
      </c>
      <c r="J129" s="504">
        <f t="shared" si="41"/>
        <v>516</v>
      </c>
      <c r="K129" s="504">
        <v>120</v>
      </c>
      <c r="L129" s="504">
        <f t="shared" si="42"/>
        <v>480</v>
      </c>
      <c r="M129" s="504">
        <f t="shared" si="43"/>
        <v>120</v>
      </c>
      <c r="N129" s="504">
        <f t="shared" si="44"/>
        <v>696.5999999999999</v>
      </c>
      <c r="O129" s="504">
        <f t="shared" si="45"/>
        <v>647.9999999999999</v>
      </c>
      <c r="P129" s="504">
        <v>0</v>
      </c>
      <c r="Q129" s="504">
        <f t="shared" si="50"/>
        <v>0</v>
      </c>
      <c r="R129" s="504">
        <f t="shared" si="47"/>
        <v>0</v>
      </c>
      <c r="S129" s="504">
        <f>+Q129*0.25</f>
        <v>0</v>
      </c>
      <c r="T129" s="504">
        <v>0</v>
      </c>
      <c r="U129" s="504">
        <f t="shared" si="48"/>
        <v>0</v>
      </c>
      <c r="V129" s="504">
        <f t="shared" si="46"/>
        <v>0</v>
      </c>
      <c r="W129" s="504" t="s">
        <v>1061</v>
      </c>
    </row>
    <row r="130" spans="1:23" ht="34.5" customHeight="1">
      <c r="A130" s="503">
        <v>126</v>
      </c>
      <c r="B130" s="502" t="s">
        <v>152</v>
      </c>
      <c r="C130" s="503" t="s">
        <v>195</v>
      </c>
      <c r="D130" s="1430" t="s">
        <v>196</v>
      </c>
      <c r="E130" s="1430"/>
      <c r="F130" s="502" t="s">
        <v>55</v>
      </c>
      <c r="G130" s="504">
        <v>13</v>
      </c>
      <c r="H130" s="504">
        <f t="shared" si="49"/>
        <v>7.3125</v>
      </c>
      <c r="I130" s="504">
        <v>32</v>
      </c>
      <c r="J130" s="504">
        <f t="shared" si="41"/>
        <v>128</v>
      </c>
      <c r="K130" s="504">
        <v>18</v>
      </c>
      <c r="L130" s="504">
        <f t="shared" si="42"/>
        <v>72</v>
      </c>
      <c r="M130" s="504">
        <f t="shared" si="43"/>
        <v>18</v>
      </c>
      <c r="N130" s="504">
        <f t="shared" si="44"/>
        <v>172.79999999999998</v>
      </c>
      <c r="O130" s="504">
        <f t="shared" si="45"/>
        <v>97.19999999999999</v>
      </c>
      <c r="P130" s="504">
        <v>0</v>
      </c>
      <c r="Q130" s="504">
        <f t="shared" si="50"/>
        <v>0</v>
      </c>
      <c r="R130" s="504">
        <f t="shared" si="47"/>
        <v>0</v>
      </c>
      <c r="S130" s="504">
        <f>+Q130*0.25</f>
        <v>0</v>
      </c>
      <c r="T130" s="504">
        <f>+Q130*0.05</f>
        <v>0</v>
      </c>
      <c r="U130" s="504">
        <f t="shared" si="48"/>
        <v>0</v>
      </c>
      <c r="V130" s="504">
        <f t="shared" si="46"/>
        <v>0</v>
      </c>
      <c r="W130" s="504" t="s">
        <v>1061</v>
      </c>
    </row>
    <row r="131" spans="1:23" ht="34.5" customHeight="1">
      <c r="A131" s="503">
        <v>127</v>
      </c>
      <c r="B131" s="502" t="s">
        <v>152</v>
      </c>
      <c r="C131" s="503" t="s">
        <v>195</v>
      </c>
      <c r="D131" s="1430" t="s">
        <v>197</v>
      </c>
      <c r="E131" s="1430"/>
      <c r="F131" s="502" t="s">
        <v>55</v>
      </c>
      <c r="G131" s="504">
        <v>65</v>
      </c>
      <c r="H131" s="504">
        <f t="shared" si="49"/>
        <v>47.5609756097561</v>
      </c>
      <c r="I131" s="504">
        <v>82</v>
      </c>
      <c r="J131" s="504">
        <f t="shared" si="41"/>
        <v>328</v>
      </c>
      <c r="K131" s="504">
        <v>60</v>
      </c>
      <c r="L131" s="504">
        <f t="shared" si="42"/>
        <v>240</v>
      </c>
      <c r="M131" s="504">
        <f t="shared" si="43"/>
        <v>60</v>
      </c>
      <c r="N131" s="504">
        <f t="shared" si="44"/>
        <v>442.79999999999995</v>
      </c>
      <c r="O131" s="504">
        <f t="shared" si="45"/>
        <v>323.99999999999994</v>
      </c>
      <c r="P131" s="504">
        <v>0</v>
      </c>
      <c r="Q131" s="504">
        <f t="shared" si="50"/>
        <v>0</v>
      </c>
      <c r="R131" s="504">
        <f t="shared" si="47"/>
        <v>0</v>
      </c>
      <c r="S131" s="504">
        <f>+Q131*0.25</f>
        <v>0</v>
      </c>
      <c r="T131" s="504">
        <f>+Q131*0.05</f>
        <v>0</v>
      </c>
      <c r="U131" s="504">
        <f t="shared" si="48"/>
        <v>0</v>
      </c>
      <c r="V131" s="504">
        <f t="shared" si="46"/>
        <v>0</v>
      </c>
      <c r="W131" s="504" t="s">
        <v>1061</v>
      </c>
    </row>
    <row r="132" spans="1:23" ht="34.5" customHeight="1">
      <c r="A132" s="503">
        <v>128</v>
      </c>
      <c r="B132" s="502" t="s">
        <v>152</v>
      </c>
      <c r="C132" s="503" t="s">
        <v>195</v>
      </c>
      <c r="D132" s="1430" t="s">
        <v>198</v>
      </c>
      <c r="E132" s="1430"/>
      <c r="F132" s="502" t="s">
        <v>55</v>
      </c>
      <c r="G132" s="504">
        <v>70</v>
      </c>
      <c r="H132" s="504">
        <f t="shared" si="49"/>
        <v>70</v>
      </c>
      <c r="I132" s="504">
        <v>118</v>
      </c>
      <c r="J132" s="504">
        <f t="shared" si="41"/>
        <v>472</v>
      </c>
      <c r="K132" s="504">
        <v>118</v>
      </c>
      <c r="L132" s="504">
        <f t="shared" si="42"/>
        <v>472</v>
      </c>
      <c r="M132" s="504">
        <f t="shared" si="43"/>
        <v>118</v>
      </c>
      <c r="N132" s="504">
        <f t="shared" si="44"/>
        <v>637.1999999999999</v>
      </c>
      <c r="O132" s="504">
        <f t="shared" si="45"/>
        <v>637.1999999999999</v>
      </c>
      <c r="P132" s="504">
        <v>1000</v>
      </c>
      <c r="Q132" s="504">
        <f t="shared" si="50"/>
        <v>637199.9999999999</v>
      </c>
      <c r="R132" s="504">
        <f t="shared" si="47"/>
        <v>414179.99999999994</v>
      </c>
      <c r="S132" s="504">
        <v>0</v>
      </c>
      <c r="T132" s="504">
        <v>0</v>
      </c>
      <c r="U132" s="504">
        <f t="shared" si="48"/>
        <v>223019.99999999994</v>
      </c>
      <c r="V132" s="504">
        <f t="shared" si="46"/>
        <v>637199.9999999999</v>
      </c>
      <c r="W132" s="504" t="s">
        <v>1061</v>
      </c>
    </row>
    <row r="133" spans="1:23" ht="34.5" customHeight="1">
      <c r="A133" s="503">
        <v>129</v>
      </c>
      <c r="B133" s="502" t="s">
        <v>152</v>
      </c>
      <c r="C133" s="503" t="s">
        <v>199</v>
      </c>
      <c r="D133" s="1430" t="s">
        <v>200</v>
      </c>
      <c r="E133" s="1430"/>
      <c r="F133" s="502" t="s">
        <v>55</v>
      </c>
      <c r="G133" s="504"/>
      <c r="H133" s="504">
        <f t="shared" si="49"/>
        <v>0</v>
      </c>
      <c r="I133" s="504">
        <v>75</v>
      </c>
      <c r="J133" s="504">
        <f>+I133*4</f>
        <v>300</v>
      </c>
      <c r="K133" s="504">
        <v>45</v>
      </c>
      <c r="L133" s="504">
        <f>+K133*4</f>
        <v>180</v>
      </c>
      <c r="M133" s="504">
        <f t="shared" si="43"/>
        <v>45</v>
      </c>
      <c r="N133" s="504">
        <f t="shared" si="44"/>
        <v>404.99999999999994</v>
      </c>
      <c r="O133" s="504">
        <f t="shared" si="45"/>
        <v>242.99999999999997</v>
      </c>
      <c r="P133" s="504">
        <v>500</v>
      </c>
      <c r="Q133" s="504">
        <f t="shared" si="50"/>
        <v>121499.99999999999</v>
      </c>
      <c r="R133" s="504">
        <f t="shared" si="47"/>
        <v>78975</v>
      </c>
      <c r="S133" s="504">
        <v>0</v>
      </c>
      <c r="T133" s="504">
        <v>0</v>
      </c>
      <c r="U133" s="504">
        <f t="shared" si="48"/>
        <v>42524.999999999985</v>
      </c>
      <c r="V133" s="504">
        <f>+SUM(R133:U133)</f>
        <v>121499.99999999999</v>
      </c>
      <c r="W133" s="504" t="s">
        <v>1061</v>
      </c>
    </row>
    <row r="134" spans="1:23" ht="34.5" customHeight="1">
      <c r="A134" s="503">
        <v>130</v>
      </c>
      <c r="B134" s="502" t="s">
        <v>152</v>
      </c>
      <c r="C134" s="503" t="s">
        <v>199</v>
      </c>
      <c r="D134" s="1430" t="s">
        <v>201</v>
      </c>
      <c r="E134" s="1430"/>
      <c r="F134" s="502" t="s">
        <v>55</v>
      </c>
      <c r="G134" s="504">
        <v>53</v>
      </c>
      <c r="H134" s="504">
        <f t="shared" si="49"/>
        <v>3.6551724137931036</v>
      </c>
      <c r="I134" s="504">
        <v>145</v>
      </c>
      <c r="J134" s="504">
        <f>+I134*4</f>
        <v>580</v>
      </c>
      <c r="K134" s="504">
        <v>10</v>
      </c>
      <c r="L134" s="504">
        <f>+K134*4</f>
        <v>40</v>
      </c>
      <c r="M134" s="504">
        <f t="shared" si="43"/>
        <v>10</v>
      </c>
      <c r="N134" s="504">
        <f t="shared" si="44"/>
        <v>782.9999999999999</v>
      </c>
      <c r="O134" s="504">
        <f t="shared" si="45"/>
        <v>53.99999999999999</v>
      </c>
      <c r="P134" s="504">
        <v>0</v>
      </c>
      <c r="Q134" s="504">
        <f t="shared" si="50"/>
        <v>0</v>
      </c>
      <c r="R134" s="504">
        <f t="shared" si="47"/>
        <v>0</v>
      </c>
      <c r="S134" s="504">
        <f>+Q134*0.25</f>
        <v>0</v>
      </c>
      <c r="T134" s="504">
        <f>+Q134*0.05</f>
        <v>0</v>
      </c>
      <c r="U134" s="504">
        <f t="shared" si="48"/>
        <v>0</v>
      </c>
      <c r="V134" s="504">
        <f>+SUM(R134:U134)</f>
        <v>0</v>
      </c>
      <c r="W134" s="504" t="s">
        <v>1061</v>
      </c>
    </row>
    <row r="135" spans="1:23" ht="34.5" customHeight="1">
      <c r="A135" s="503">
        <v>131</v>
      </c>
      <c r="B135" s="502" t="s">
        <v>152</v>
      </c>
      <c r="C135" s="503" t="s">
        <v>202</v>
      </c>
      <c r="D135" s="1430" t="s">
        <v>203</v>
      </c>
      <c r="E135" s="1430"/>
      <c r="F135" s="502" t="s">
        <v>55</v>
      </c>
      <c r="G135" s="503">
        <v>48</v>
      </c>
      <c r="H135" s="504">
        <f t="shared" si="49"/>
        <v>15.867768595041323</v>
      </c>
      <c r="I135" s="503">
        <v>121</v>
      </c>
      <c r="J135" s="503">
        <f>+I135*4</f>
        <v>484</v>
      </c>
      <c r="K135" s="503">
        <v>40</v>
      </c>
      <c r="L135" s="503">
        <f>+K135*4</f>
        <v>160</v>
      </c>
      <c r="M135" s="503">
        <f t="shared" si="43"/>
        <v>40</v>
      </c>
      <c r="N135" s="504">
        <f t="shared" si="44"/>
        <v>653.4</v>
      </c>
      <c r="O135" s="504">
        <f t="shared" si="45"/>
        <v>215.99999999999997</v>
      </c>
      <c r="P135" s="505" t="s">
        <v>204</v>
      </c>
      <c r="Q135" s="504">
        <f>4000*K135</f>
        <v>160000</v>
      </c>
      <c r="R135" s="504">
        <f>+Q135*0.65</f>
        <v>104000</v>
      </c>
      <c r="S135" s="504">
        <v>0</v>
      </c>
      <c r="T135" s="504">
        <v>0</v>
      </c>
      <c r="U135" s="504">
        <f t="shared" si="48"/>
        <v>56000</v>
      </c>
      <c r="V135" s="504">
        <f>+SUM(R135:U135)</f>
        <v>160000</v>
      </c>
      <c r="W135" s="504" t="s">
        <v>1061</v>
      </c>
    </row>
    <row r="136" spans="1:23" ht="12.75">
      <c r="A136" s="515"/>
      <c r="W136" s="507"/>
    </row>
    <row r="137" ht="12.75">
      <c r="W137" s="507"/>
    </row>
    <row r="138" ht="12.75">
      <c r="W138" s="507"/>
    </row>
    <row r="139" ht="12.75">
      <c r="W139" s="507"/>
    </row>
    <row r="140" ht="12.75">
      <c r="W140" s="507"/>
    </row>
    <row r="141" ht="12.75">
      <c r="W141" s="507"/>
    </row>
    <row r="142" ht="12.75">
      <c r="W142" s="507"/>
    </row>
    <row r="143" ht="12.75">
      <c r="W143" s="507"/>
    </row>
    <row r="144" ht="12.75">
      <c r="W144" s="507"/>
    </row>
    <row r="145" ht="12.75">
      <c r="W145" s="507"/>
    </row>
    <row r="146" ht="12.75">
      <c r="W146" s="507"/>
    </row>
    <row r="147" ht="12.75">
      <c r="W147" s="507"/>
    </row>
    <row r="148" ht="12.75">
      <c r="W148" s="507"/>
    </row>
    <row r="149" ht="12.75">
      <c r="W149" s="507"/>
    </row>
    <row r="150" ht="12.75">
      <c r="W150" s="507"/>
    </row>
    <row r="151" ht="12.75">
      <c r="W151" s="507"/>
    </row>
    <row r="152" ht="12.75">
      <c r="W152" s="507"/>
    </row>
    <row r="153" ht="12.75">
      <c r="W153" s="507"/>
    </row>
    <row r="154" ht="12.75">
      <c r="W154" s="507"/>
    </row>
    <row r="155" ht="12.75">
      <c r="W155" s="507"/>
    </row>
    <row r="156" ht="12.75">
      <c r="W156" s="507"/>
    </row>
    <row r="157" ht="12.75">
      <c r="W157" s="507"/>
    </row>
    <row r="158" ht="12.75">
      <c r="W158" s="507"/>
    </row>
    <row r="159" ht="12.75">
      <c r="W159" s="507"/>
    </row>
    <row r="160" ht="12.75">
      <c r="W160" s="507"/>
    </row>
    <row r="161" ht="12.75">
      <c r="W161" s="507"/>
    </row>
    <row r="162" ht="12.75">
      <c r="W162" s="507"/>
    </row>
    <row r="163" ht="12.75">
      <c r="W163" s="507"/>
    </row>
    <row r="164" ht="12.75">
      <c r="W164" s="507"/>
    </row>
    <row r="165" ht="12.75">
      <c r="W165" s="507"/>
    </row>
    <row r="166" ht="12.75">
      <c r="W166" s="507"/>
    </row>
    <row r="167" ht="12.75">
      <c r="W167" s="507"/>
    </row>
    <row r="168" ht="12.75">
      <c r="W168" s="507"/>
    </row>
    <row r="169" ht="12.75">
      <c r="W169" s="507"/>
    </row>
    <row r="170" ht="12.75">
      <c r="W170" s="507"/>
    </row>
    <row r="171" ht="12.75">
      <c r="W171" s="507"/>
    </row>
    <row r="172" ht="12.75">
      <c r="W172" s="507"/>
    </row>
  </sheetData>
  <sheetProtection/>
  <mergeCells count="152">
    <mergeCell ref="D134:E134"/>
    <mergeCell ref="D129:E129"/>
    <mergeCell ref="D132:E132"/>
    <mergeCell ref="D133:E133"/>
    <mergeCell ref="D130:E130"/>
    <mergeCell ref="D131:E131"/>
    <mergeCell ref="D125:E125"/>
    <mergeCell ref="D126:E126"/>
    <mergeCell ref="D127:E127"/>
    <mergeCell ref="D128:E128"/>
    <mergeCell ref="D121:E121"/>
    <mergeCell ref="D122:E122"/>
    <mergeCell ref="D123:E123"/>
    <mergeCell ref="D124:E124"/>
    <mergeCell ref="D117:E117"/>
    <mergeCell ref="D118:E118"/>
    <mergeCell ref="D119:E119"/>
    <mergeCell ref="D120:E120"/>
    <mergeCell ref="D113:E113"/>
    <mergeCell ref="D114:E114"/>
    <mergeCell ref="D115:E115"/>
    <mergeCell ref="D116:E116"/>
    <mergeCell ref="D108:E108"/>
    <mergeCell ref="D110:E110"/>
    <mergeCell ref="D111:E111"/>
    <mergeCell ref="D112:E112"/>
    <mergeCell ref="D109:E109"/>
    <mergeCell ref="D95:E95"/>
    <mergeCell ref="D96:E96"/>
    <mergeCell ref="D97:E97"/>
    <mergeCell ref="D98:E98"/>
    <mergeCell ref="D92:E92"/>
    <mergeCell ref="D93:E93"/>
    <mergeCell ref="D94:E94"/>
    <mergeCell ref="D63:E63"/>
    <mergeCell ref="D66:E66"/>
    <mergeCell ref="D65:E65"/>
    <mergeCell ref="D67:E67"/>
    <mergeCell ref="D68:E68"/>
    <mergeCell ref="D69:E69"/>
    <mergeCell ref="D70:E70"/>
    <mergeCell ref="D62:E62"/>
    <mergeCell ref="D58:E58"/>
    <mergeCell ref="D59:E59"/>
    <mergeCell ref="D60:E60"/>
    <mergeCell ref="D57:E57"/>
    <mergeCell ref="D54:E54"/>
    <mergeCell ref="D55:E55"/>
    <mergeCell ref="D61:E61"/>
    <mergeCell ref="D52:E52"/>
    <mergeCell ref="D49:E49"/>
    <mergeCell ref="D50:E50"/>
    <mergeCell ref="D56:E56"/>
    <mergeCell ref="A1:W1"/>
    <mergeCell ref="A2:W2"/>
    <mergeCell ref="G3:G4"/>
    <mergeCell ref="A3:A4"/>
    <mergeCell ref="B3:B4"/>
    <mergeCell ref="C3:C4"/>
    <mergeCell ref="W3:W4"/>
    <mergeCell ref="P3:P4"/>
    <mergeCell ref="Q3:Q4"/>
    <mergeCell ref="R3:U3"/>
    <mergeCell ref="V3:V4"/>
    <mergeCell ref="H3:H4"/>
    <mergeCell ref="I3:I4"/>
    <mergeCell ref="J3:J4"/>
    <mergeCell ref="K3:K4"/>
    <mergeCell ref="F3:F4"/>
    <mergeCell ref="D6:E6"/>
    <mergeCell ref="D5:E5"/>
    <mergeCell ref="O3:O4"/>
    <mergeCell ref="L3:L4"/>
    <mergeCell ref="M3:M4"/>
    <mergeCell ref="N3:N4"/>
    <mergeCell ref="D3:E4"/>
    <mergeCell ref="D11:E11"/>
    <mergeCell ref="D9:E9"/>
    <mergeCell ref="D10:E10"/>
    <mergeCell ref="D12:E12"/>
    <mergeCell ref="D18:E18"/>
    <mergeCell ref="D17:E17"/>
    <mergeCell ref="D13:E13"/>
    <mergeCell ref="D16:E16"/>
    <mergeCell ref="D14:E14"/>
    <mergeCell ref="D15:E15"/>
    <mergeCell ref="D19:E19"/>
    <mergeCell ref="D20:E20"/>
    <mergeCell ref="D21:E21"/>
    <mergeCell ref="D29:E29"/>
    <mergeCell ref="D22:E22"/>
    <mergeCell ref="D23:E23"/>
    <mergeCell ref="D24:E24"/>
    <mergeCell ref="D25:E25"/>
    <mergeCell ref="D26:E26"/>
    <mergeCell ref="D40:E40"/>
    <mergeCell ref="D41:E41"/>
    <mergeCell ref="D32:E32"/>
    <mergeCell ref="D33:E33"/>
    <mergeCell ref="D34:E34"/>
    <mergeCell ref="D35:E35"/>
    <mergeCell ref="D64:E64"/>
    <mergeCell ref="D42:E42"/>
    <mergeCell ref="D43:E43"/>
    <mergeCell ref="D44:E44"/>
    <mergeCell ref="D45:E45"/>
    <mergeCell ref="D47:E47"/>
    <mergeCell ref="D48:E48"/>
    <mergeCell ref="D46:E46"/>
    <mergeCell ref="D51:E51"/>
    <mergeCell ref="D53:E53"/>
    <mergeCell ref="D135:E135"/>
    <mergeCell ref="D99:E99"/>
    <mergeCell ref="D103:E103"/>
    <mergeCell ref="D104:E104"/>
    <mergeCell ref="D105:E105"/>
    <mergeCell ref="D106:E106"/>
    <mergeCell ref="D107:E107"/>
    <mergeCell ref="D100:E100"/>
    <mergeCell ref="D101:E101"/>
    <mergeCell ref="D102:E102"/>
    <mergeCell ref="D7:E7"/>
    <mergeCell ref="D8:E8"/>
    <mergeCell ref="D39:E39"/>
    <mergeCell ref="D37:E37"/>
    <mergeCell ref="D36:E36"/>
    <mergeCell ref="D38:E38"/>
    <mergeCell ref="D31:E31"/>
    <mergeCell ref="D27:E27"/>
    <mergeCell ref="D28:E28"/>
    <mergeCell ref="D30:E3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91:E91"/>
    <mergeCell ref="D87:E87"/>
    <mergeCell ref="D88:E88"/>
    <mergeCell ref="D89:E89"/>
    <mergeCell ref="D90:E90"/>
  </mergeCells>
  <printOptions horizontalCentered="1"/>
  <pageMargins left="0.3937007874015748" right="0.3937007874015748" top="0.7480314960629921" bottom="0.7480314960629921" header="0.31496062992125984" footer="0.31496062992125984"/>
  <pageSetup firstPageNumber="22" useFirstPageNumber="1" horizontalDpi="600" verticalDpi="600" orientation="landscape" paperSize="9" scale="65" r:id="rId1"/>
  <headerFooter alignWithMargins="0">
    <oddFooter>&amp;C&amp;P</oddFooter>
  </headerFooter>
  <colBreaks count="1" manualBreakCount="1">
    <brk id="23" max="65535" man="1"/>
  </colBreaks>
</worksheet>
</file>

<file path=xl/worksheets/sheet11.xml><?xml version="1.0" encoding="utf-8"?>
<worksheet xmlns="http://schemas.openxmlformats.org/spreadsheetml/2006/main" xmlns:r="http://schemas.openxmlformats.org/officeDocument/2006/relationships">
  <sheetPr>
    <tabColor indexed="41"/>
  </sheetPr>
  <dimension ref="A1:Z43"/>
  <sheetViews>
    <sheetView showZeros="0" zoomScalePageLayoutView="0" workbookViewId="0" topLeftCell="A1">
      <pane xSplit="5" ySplit="4" topLeftCell="F38" activePane="bottomRight" state="frozen"/>
      <selection pane="topLeft" activeCell="A1" sqref="A1"/>
      <selection pane="topRight" activeCell="F1" sqref="F1"/>
      <selection pane="bottomLeft" activeCell="A5" sqref="A5"/>
      <selection pane="bottomRight" activeCell="J49" sqref="J49"/>
    </sheetView>
  </sheetViews>
  <sheetFormatPr defaultColWidth="8.796875" defaultRowHeight="15"/>
  <cols>
    <col min="1" max="1" width="3.59765625" style="395" customWidth="1"/>
    <col min="2" max="2" width="11.19921875" style="395" customWidth="1"/>
    <col min="3" max="3" width="9.3984375" style="395" customWidth="1"/>
    <col min="4" max="4" width="11.3984375" style="395" customWidth="1"/>
    <col min="5" max="5" width="12" style="395" customWidth="1"/>
    <col min="6" max="6" width="5.5" style="396" customWidth="1"/>
    <col min="7" max="7" width="6.5" style="395" customWidth="1"/>
    <col min="8" max="8" width="5.69921875" style="395" customWidth="1"/>
    <col min="9" max="9" width="1" style="395" customWidth="1"/>
    <col min="10" max="12" width="7.09765625" style="395" customWidth="1"/>
    <col min="13" max="13" width="4.3984375" style="395" customWidth="1"/>
    <col min="14" max="14" width="4.8984375" style="395" customWidth="1"/>
    <col min="15" max="15" width="6.69921875" style="395" customWidth="1"/>
    <col min="16" max="16" width="7.19921875" style="395" customWidth="1"/>
    <col min="17" max="18" width="7" style="395" customWidth="1"/>
    <col min="19" max="19" width="10" style="395" customWidth="1"/>
    <col min="20" max="20" width="9.59765625" style="395" customWidth="1"/>
    <col min="21" max="21" width="8.69921875" style="395" customWidth="1"/>
    <col min="22" max="22" width="7" style="395" customWidth="1"/>
    <col min="23" max="23" width="8.69921875" style="395" customWidth="1"/>
    <col min="24" max="24" width="9.19921875" style="395" customWidth="1"/>
    <col min="25" max="25" width="9.3984375" style="396" customWidth="1"/>
    <col min="26" max="26" width="0" style="397" hidden="1" customWidth="1"/>
    <col min="27" max="27" width="0" style="395" hidden="1" customWidth="1"/>
    <col min="28" max="16384" width="9" style="395" customWidth="1"/>
  </cols>
  <sheetData>
    <row r="1" spans="1:25" ht="24.75" customHeight="1">
      <c r="A1" s="1446" t="s">
        <v>808</v>
      </c>
      <c r="B1" s="1409"/>
      <c r="C1" s="1409"/>
      <c r="D1" s="1409"/>
      <c r="E1" s="1409"/>
      <c r="F1" s="1409"/>
      <c r="G1" s="1409"/>
      <c r="H1" s="1409"/>
      <c r="I1" s="1409"/>
      <c r="J1" s="1409"/>
      <c r="K1" s="1409"/>
      <c r="L1" s="1409"/>
      <c r="M1" s="1409"/>
      <c r="N1" s="1409"/>
      <c r="O1" s="1409"/>
      <c r="P1" s="1409"/>
      <c r="Q1" s="1409"/>
      <c r="R1" s="1409"/>
      <c r="S1" s="1409"/>
      <c r="T1" s="1409"/>
      <c r="U1" s="1409"/>
      <c r="V1" s="1409"/>
      <c r="W1" s="1409"/>
      <c r="X1" s="1409"/>
      <c r="Y1" s="1409"/>
    </row>
    <row r="2" spans="1:25" ht="22.5" customHeight="1">
      <c r="A2" s="1447" t="str">
        <f>+'Bieu 1-cu'!A2:G2</f>
        <v>(Kèm theo Kế hoạch số:         /KH/SNN-CCTL, ngày         / 7 /2014 của Sở Nông nghiệp và PTNT Phú Thọ)</v>
      </c>
      <c r="B2" s="1447"/>
      <c r="C2" s="1447"/>
      <c r="D2" s="1447"/>
      <c r="E2" s="1447"/>
      <c r="F2" s="1447"/>
      <c r="G2" s="1447"/>
      <c r="H2" s="1447"/>
      <c r="I2" s="1447"/>
      <c r="J2" s="1447"/>
      <c r="K2" s="1447"/>
      <c r="L2" s="1447"/>
      <c r="M2" s="1447"/>
      <c r="N2" s="1447"/>
      <c r="O2" s="1447"/>
      <c r="P2" s="1447"/>
      <c r="Q2" s="1447"/>
      <c r="R2" s="1447"/>
      <c r="S2" s="1447"/>
      <c r="T2" s="1447"/>
      <c r="U2" s="1447"/>
      <c r="V2" s="1447"/>
      <c r="W2" s="1447"/>
      <c r="X2" s="1447"/>
      <c r="Y2" s="1447"/>
    </row>
    <row r="3" spans="1:26" s="494" customFormat="1" ht="25.5" customHeight="1">
      <c r="A3" s="1443" t="s">
        <v>922</v>
      </c>
      <c r="B3" s="1443" t="s">
        <v>998</v>
      </c>
      <c r="C3" s="1443" t="s">
        <v>999</v>
      </c>
      <c r="D3" s="1443" t="s">
        <v>1029</v>
      </c>
      <c r="E3" s="1443"/>
      <c r="F3" s="1443" t="s">
        <v>1030</v>
      </c>
      <c r="G3" s="1443" t="s">
        <v>1031</v>
      </c>
      <c r="H3" s="1443" t="s">
        <v>1032</v>
      </c>
      <c r="I3" s="1443"/>
      <c r="J3" s="1443" t="s">
        <v>1033</v>
      </c>
      <c r="K3" s="1443" t="s">
        <v>1034</v>
      </c>
      <c r="L3" s="1443" t="s">
        <v>1035</v>
      </c>
      <c r="M3" s="1443" t="s">
        <v>1036</v>
      </c>
      <c r="N3" s="1443"/>
      <c r="O3" s="1443" t="s">
        <v>1037</v>
      </c>
      <c r="P3" s="1444" t="s">
        <v>809</v>
      </c>
      <c r="Q3" s="1444" t="s">
        <v>1038</v>
      </c>
      <c r="R3" s="1444" t="s">
        <v>1039</v>
      </c>
      <c r="S3" s="1444" t="s">
        <v>1040</v>
      </c>
      <c r="T3" s="1440" t="s">
        <v>1041</v>
      </c>
      <c r="U3" s="1440"/>
      <c r="V3" s="1440"/>
      <c r="W3" s="1440"/>
      <c r="X3" s="1441" t="s">
        <v>1042</v>
      </c>
      <c r="Y3" s="1448" t="s">
        <v>1043</v>
      </c>
      <c r="Z3" s="493"/>
    </row>
    <row r="4" spans="1:26" s="494" customFormat="1" ht="31.5" customHeight="1">
      <c r="A4" s="1443"/>
      <c r="B4" s="1443"/>
      <c r="C4" s="1443"/>
      <c r="D4" s="1443"/>
      <c r="E4" s="1443"/>
      <c r="F4" s="1443"/>
      <c r="G4" s="1443"/>
      <c r="H4" s="1443"/>
      <c r="I4" s="1443"/>
      <c r="J4" s="1443"/>
      <c r="K4" s="1443"/>
      <c r="L4" s="1443"/>
      <c r="M4" s="1443"/>
      <c r="N4" s="1443"/>
      <c r="O4" s="1443"/>
      <c r="P4" s="1445"/>
      <c r="Q4" s="1445"/>
      <c r="R4" s="1445"/>
      <c r="S4" s="1445"/>
      <c r="T4" s="495" t="s">
        <v>1044</v>
      </c>
      <c r="U4" s="495" t="s">
        <v>1045</v>
      </c>
      <c r="V4" s="495" t="s">
        <v>1046</v>
      </c>
      <c r="W4" s="495" t="s">
        <v>1047</v>
      </c>
      <c r="X4" s="1442"/>
      <c r="Y4" s="1449"/>
      <c r="Z4" s="493"/>
    </row>
    <row r="5" spans="1:25" ht="22.5" customHeight="1">
      <c r="A5" s="398">
        <v>1</v>
      </c>
      <c r="B5" s="399" t="s">
        <v>1048</v>
      </c>
      <c r="C5" s="400" t="s">
        <v>1049</v>
      </c>
      <c r="D5" s="1439" t="s">
        <v>1050</v>
      </c>
      <c r="E5" s="1439"/>
      <c r="F5" s="401" t="s">
        <v>1051</v>
      </c>
      <c r="G5" s="398">
        <v>172</v>
      </c>
      <c r="H5" s="1438">
        <v>0</v>
      </c>
      <c r="I5" s="1438"/>
      <c r="J5" s="398">
        <v>300</v>
      </c>
      <c r="K5" s="398">
        <v>1200</v>
      </c>
      <c r="L5" s="398">
        <v>0</v>
      </c>
      <c r="M5" s="1438">
        <v>0</v>
      </c>
      <c r="N5" s="1438"/>
      <c r="O5" s="398">
        <v>40</v>
      </c>
      <c r="P5" s="402">
        <v>0</v>
      </c>
      <c r="Q5" s="403">
        <v>0</v>
      </c>
      <c r="R5" s="403">
        <v>0</v>
      </c>
      <c r="S5" s="403">
        <v>0</v>
      </c>
      <c r="T5" s="403">
        <v>0</v>
      </c>
      <c r="U5" s="403">
        <v>0</v>
      </c>
      <c r="V5" s="403">
        <v>0</v>
      </c>
      <c r="W5" s="403">
        <v>0</v>
      </c>
      <c r="X5" s="403">
        <v>0</v>
      </c>
      <c r="Y5" s="491" t="s">
        <v>1052</v>
      </c>
    </row>
    <row r="6" spans="1:25" ht="26.25" customHeight="1">
      <c r="A6" s="398">
        <v>2</v>
      </c>
      <c r="B6" s="399" t="s">
        <v>1048</v>
      </c>
      <c r="C6" s="400" t="s">
        <v>1053</v>
      </c>
      <c r="D6" s="1439" t="s">
        <v>1054</v>
      </c>
      <c r="E6" s="1439"/>
      <c r="F6" s="401" t="s">
        <v>1051</v>
      </c>
      <c r="G6" s="398">
        <v>39</v>
      </c>
      <c r="H6" s="1438">
        <v>39</v>
      </c>
      <c r="I6" s="1438"/>
      <c r="J6" s="398">
        <v>100</v>
      </c>
      <c r="K6" s="398">
        <v>450</v>
      </c>
      <c r="L6" s="398">
        <v>100</v>
      </c>
      <c r="M6" s="1438">
        <v>450</v>
      </c>
      <c r="N6" s="1438"/>
      <c r="O6" s="398">
        <v>100</v>
      </c>
      <c r="P6" s="402">
        <v>0</v>
      </c>
      <c r="Q6" s="403">
        <v>0</v>
      </c>
      <c r="R6" s="403">
        <v>0</v>
      </c>
      <c r="S6" s="403">
        <v>0</v>
      </c>
      <c r="T6" s="403">
        <v>0</v>
      </c>
      <c r="U6" s="403">
        <v>0</v>
      </c>
      <c r="V6" s="403">
        <v>0</v>
      </c>
      <c r="W6" s="403">
        <v>0</v>
      </c>
      <c r="X6" s="403">
        <v>0</v>
      </c>
      <c r="Y6" s="491" t="s">
        <v>1055</v>
      </c>
    </row>
    <row r="7" spans="1:25" ht="21.75" customHeight="1">
      <c r="A7" s="398">
        <v>3</v>
      </c>
      <c r="B7" s="399" t="s">
        <v>1048</v>
      </c>
      <c r="C7" s="400" t="s">
        <v>1056</v>
      </c>
      <c r="D7" s="1439" t="s">
        <v>1057</v>
      </c>
      <c r="E7" s="1439"/>
      <c r="F7" s="401" t="s">
        <v>1051</v>
      </c>
      <c r="G7" s="398">
        <v>360</v>
      </c>
      <c r="H7" s="1438">
        <v>250</v>
      </c>
      <c r="I7" s="1438"/>
      <c r="J7" s="398">
        <v>1000</v>
      </c>
      <c r="K7" s="398">
        <v>4000</v>
      </c>
      <c r="L7" s="398">
        <v>530</v>
      </c>
      <c r="M7" s="1438">
        <v>2165</v>
      </c>
      <c r="N7" s="1438"/>
      <c r="O7" s="398">
        <v>530</v>
      </c>
      <c r="P7" s="404">
        <v>2500</v>
      </c>
      <c r="Q7" s="404">
        <v>2000</v>
      </c>
      <c r="R7" s="404">
        <v>4500</v>
      </c>
      <c r="S7" s="404">
        <f>+R7*Q7</f>
        <v>9000000</v>
      </c>
      <c r="T7" s="404">
        <v>6000000</v>
      </c>
      <c r="U7" s="404">
        <v>2700000</v>
      </c>
      <c r="V7" s="403">
        <v>0</v>
      </c>
      <c r="W7" s="404">
        <v>100000</v>
      </c>
      <c r="X7" s="404">
        <f aca="true" t="shared" si="0" ref="X7:X43">+SUM(T7:W7)</f>
        <v>8800000</v>
      </c>
      <c r="Y7" s="491" t="s">
        <v>1052</v>
      </c>
    </row>
    <row r="8" spans="1:26" ht="22.5">
      <c r="A8" s="398">
        <v>4</v>
      </c>
      <c r="B8" s="399" t="s">
        <v>1058</v>
      </c>
      <c r="C8" s="400" t="s">
        <v>1059</v>
      </c>
      <c r="D8" s="1439" t="s">
        <v>1060</v>
      </c>
      <c r="E8" s="1439"/>
      <c r="F8" s="401" t="s">
        <v>1051</v>
      </c>
      <c r="G8" s="398">
        <v>30</v>
      </c>
      <c r="H8" s="1438">
        <v>33</v>
      </c>
      <c r="I8" s="1438"/>
      <c r="J8" s="398">
        <v>94</v>
      </c>
      <c r="K8" s="398">
        <v>423</v>
      </c>
      <c r="L8" s="398">
        <v>104</v>
      </c>
      <c r="M8" s="1438">
        <v>468</v>
      </c>
      <c r="N8" s="1438"/>
      <c r="O8" s="398">
        <v>104</v>
      </c>
      <c r="P8" s="403">
        <v>0</v>
      </c>
      <c r="Q8" s="403">
        <v>0</v>
      </c>
      <c r="R8" s="403">
        <v>0</v>
      </c>
      <c r="S8" s="403">
        <v>0</v>
      </c>
      <c r="T8" s="403">
        <v>0</v>
      </c>
      <c r="U8" s="403">
        <v>0</v>
      </c>
      <c r="V8" s="403">
        <v>0</v>
      </c>
      <c r="W8" s="403">
        <v>0</v>
      </c>
      <c r="X8" s="403">
        <f t="shared" si="0"/>
        <v>0</v>
      </c>
      <c r="Y8" s="491" t="s">
        <v>1157</v>
      </c>
      <c r="Z8" s="397" t="s">
        <v>1062</v>
      </c>
    </row>
    <row r="9" spans="1:26" ht="22.5">
      <c r="A9" s="398">
        <v>5</v>
      </c>
      <c r="B9" s="399" t="s">
        <v>1058</v>
      </c>
      <c r="C9" s="400" t="s">
        <v>1059</v>
      </c>
      <c r="D9" s="1439" t="s">
        <v>1063</v>
      </c>
      <c r="E9" s="1439"/>
      <c r="F9" s="401" t="s">
        <v>1051</v>
      </c>
      <c r="G9" s="398">
        <v>300</v>
      </c>
      <c r="H9" s="1438">
        <v>233</v>
      </c>
      <c r="I9" s="1438"/>
      <c r="J9" s="398">
        <v>405</v>
      </c>
      <c r="K9" s="398">
        <v>1620</v>
      </c>
      <c r="L9" s="398">
        <v>340</v>
      </c>
      <c r="M9" s="1438">
        <v>1530</v>
      </c>
      <c r="N9" s="1438"/>
      <c r="O9" s="398">
        <v>340</v>
      </c>
      <c r="P9" s="403">
        <v>0</v>
      </c>
      <c r="Q9" s="403">
        <v>0</v>
      </c>
      <c r="R9" s="403">
        <v>0</v>
      </c>
      <c r="S9" s="403">
        <f aca="true" t="shared" si="1" ref="S9:S15">+R9*Q9</f>
        <v>0</v>
      </c>
      <c r="T9" s="403">
        <v>0</v>
      </c>
      <c r="U9" s="403">
        <v>0</v>
      </c>
      <c r="V9" s="403">
        <v>0</v>
      </c>
      <c r="W9" s="403">
        <v>0</v>
      </c>
      <c r="X9" s="403">
        <f t="shared" si="0"/>
        <v>0</v>
      </c>
      <c r="Y9" s="491" t="s">
        <v>1064</v>
      </c>
      <c r="Z9" s="397" t="s">
        <v>1062</v>
      </c>
    </row>
    <row r="10" spans="1:25" ht="22.5">
      <c r="A10" s="398">
        <v>6</v>
      </c>
      <c r="B10" s="399" t="s">
        <v>1058</v>
      </c>
      <c r="C10" s="400" t="s">
        <v>1065</v>
      </c>
      <c r="D10" s="1439" t="s">
        <v>1066</v>
      </c>
      <c r="E10" s="1439"/>
      <c r="F10" s="401" t="s">
        <v>1051</v>
      </c>
      <c r="G10" s="398">
        <v>26</v>
      </c>
      <c r="H10" s="1438">
        <v>10</v>
      </c>
      <c r="I10" s="1438"/>
      <c r="J10" s="398">
        <v>81</v>
      </c>
      <c r="K10" s="398">
        <v>325</v>
      </c>
      <c r="L10" s="398">
        <v>31</v>
      </c>
      <c r="M10" s="1438">
        <v>122</v>
      </c>
      <c r="N10" s="1438"/>
      <c r="O10" s="398">
        <v>31</v>
      </c>
      <c r="P10" s="404">
        <v>80</v>
      </c>
      <c r="Q10" s="404">
        <v>40</v>
      </c>
      <c r="R10" s="404">
        <v>10000</v>
      </c>
      <c r="S10" s="404">
        <f t="shared" si="1"/>
        <v>400000</v>
      </c>
      <c r="T10" s="403">
        <v>0</v>
      </c>
      <c r="U10" s="404">
        <v>400000</v>
      </c>
      <c r="V10" s="403">
        <v>0</v>
      </c>
      <c r="W10" s="404">
        <v>100000</v>
      </c>
      <c r="X10" s="404">
        <f t="shared" si="0"/>
        <v>500000</v>
      </c>
      <c r="Y10" s="491" t="s">
        <v>1157</v>
      </c>
    </row>
    <row r="11" spans="1:26" ht="22.5">
      <c r="A11" s="398">
        <v>7</v>
      </c>
      <c r="B11" s="399" t="s">
        <v>1058</v>
      </c>
      <c r="C11" s="400" t="s">
        <v>1067</v>
      </c>
      <c r="D11" s="1439" t="s">
        <v>1068</v>
      </c>
      <c r="E11" s="1439"/>
      <c r="F11" s="401" t="s">
        <v>1051</v>
      </c>
      <c r="G11" s="398">
        <v>45</v>
      </c>
      <c r="H11" s="1438">
        <v>0</v>
      </c>
      <c r="I11" s="1438"/>
      <c r="J11" s="398">
        <v>140</v>
      </c>
      <c r="K11" s="398">
        <v>700</v>
      </c>
      <c r="L11" s="398">
        <v>0</v>
      </c>
      <c r="M11" s="1438">
        <v>0</v>
      </c>
      <c r="N11" s="1438"/>
      <c r="O11" s="398">
        <v>140</v>
      </c>
      <c r="P11" s="403">
        <v>0</v>
      </c>
      <c r="Q11" s="403">
        <v>0</v>
      </c>
      <c r="R11" s="403">
        <v>0</v>
      </c>
      <c r="S11" s="403">
        <f t="shared" si="1"/>
        <v>0</v>
      </c>
      <c r="T11" s="403">
        <v>0</v>
      </c>
      <c r="U11" s="403">
        <v>0</v>
      </c>
      <c r="V11" s="403">
        <v>0</v>
      </c>
      <c r="W11" s="403">
        <v>0</v>
      </c>
      <c r="X11" s="403">
        <f t="shared" si="0"/>
        <v>0</v>
      </c>
      <c r="Y11" s="491" t="s">
        <v>1157</v>
      </c>
      <c r="Z11" s="397" t="s">
        <v>1069</v>
      </c>
    </row>
    <row r="12" spans="1:26" ht="22.5">
      <c r="A12" s="398">
        <v>8</v>
      </c>
      <c r="B12" s="399" t="s">
        <v>1058</v>
      </c>
      <c r="C12" s="400" t="s">
        <v>1070</v>
      </c>
      <c r="D12" s="1439" t="s">
        <v>1071</v>
      </c>
      <c r="E12" s="1439"/>
      <c r="F12" s="401" t="s">
        <v>1051</v>
      </c>
      <c r="G12" s="398">
        <v>48</v>
      </c>
      <c r="H12" s="1438">
        <v>22</v>
      </c>
      <c r="I12" s="1438"/>
      <c r="J12" s="398">
        <v>130</v>
      </c>
      <c r="K12" s="398">
        <v>520</v>
      </c>
      <c r="L12" s="398">
        <v>70</v>
      </c>
      <c r="M12" s="1438">
        <v>315</v>
      </c>
      <c r="N12" s="1438"/>
      <c r="O12" s="398">
        <v>70</v>
      </c>
      <c r="P12" s="403">
        <v>0</v>
      </c>
      <c r="Q12" s="403">
        <v>0</v>
      </c>
      <c r="R12" s="403">
        <v>0</v>
      </c>
      <c r="S12" s="403">
        <f t="shared" si="1"/>
        <v>0</v>
      </c>
      <c r="T12" s="403">
        <v>0</v>
      </c>
      <c r="U12" s="403">
        <v>0</v>
      </c>
      <c r="V12" s="403">
        <v>0</v>
      </c>
      <c r="W12" s="403">
        <v>0</v>
      </c>
      <c r="X12" s="403">
        <f t="shared" si="0"/>
        <v>0</v>
      </c>
      <c r="Y12" s="491" t="s">
        <v>1157</v>
      </c>
      <c r="Z12" s="397" t="s">
        <v>1062</v>
      </c>
    </row>
    <row r="13" spans="1:26" ht="22.5">
      <c r="A13" s="398">
        <v>9</v>
      </c>
      <c r="B13" s="399" t="s">
        <v>1058</v>
      </c>
      <c r="C13" s="400" t="s">
        <v>1072</v>
      </c>
      <c r="D13" s="1439" t="s">
        <v>1073</v>
      </c>
      <c r="E13" s="1439"/>
      <c r="F13" s="401" t="s">
        <v>1051</v>
      </c>
      <c r="G13" s="398">
        <v>100</v>
      </c>
      <c r="H13" s="1438">
        <v>40</v>
      </c>
      <c r="I13" s="1438"/>
      <c r="J13" s="398">
        <v>200</v>
      </c>
      <c r="K13" s="398">
        <v>1000</v>
      </c>
      <c r="L13" s="398">
        <v>140</v>
      </c>
      <c r="M13" s="1438">
        <v>650</v>
      </c>
      <c r="N13" s="1438"/>
      <c r="O13" s="398">
        <v>140</v>
      </c>
      <c r="P13" s="403">
        <v>0</v>
      </c>
      <c r="Q13" s="403">
        <v>0</v>
      </c>
      <c r="R13" s="403">
        <v>0</v>
      </c>
      <c r="S13" s="403">
        <f t="shared" si="1"/>
        <v>0</v>
      </c>
      <c r="T13" s="403">
        <v>0</v>
      </c>
      <c r="U13" s="403">
        <v>0</v>
      </c>
      <c r="V13" s="403">
        <v>0</v>
      </c>
      <c r="W13" s="403">
        <v>0</v>
      </c>
      <c r="X13" s="403">
        <f t="shared" si="0"/>
        <v>0</v>
      </c>
      <c r="Y13" s="491" t="s">
        <v>1157</v>
      </c>
      <c r="Z13" s="397" t="s">
        <v>1062</v>
      </c>
    </row>
    <row r="14" spans="1:26" ht="22.5">
      <c r="A14" s="398">
        <v>10</v>
      </c>
      <c r="B14" s="399" t="s">
        <v>1058</v>
      </c>
      <c r="C14" s="400" t="s">
        <v>1074</v>
      </c>
      <c r="D14" s="1439" t="s">
        <v>1075</v>
      </c>
      <c r="E14" s="1439"/>
      <c r="F14" s="401" t="s">
        <v>1051</v>
      </c>
      <c r="G14" s="398">
        <v>22</v>
      </c>
      <c r="H14" s="1438">
        <v>0</v>
      </c>
      <c r="I14" s="1438"/>
      <c r="J14" s="398">
        <v>70</v>
      </c>
      <c r="K14" s="398">
        <v>350</v>
      </c>
      <c r="L14" s="398">
        <v>0</v>
      </c>
      <c r="M14" s="1438">
        <v>0</v>
      </c>
      <c r="N14" s="1438"/>
      <c r="O14" s="398">
        <v>0</v>
      </c>
      <c r="P14" s="403">
        <v>0</v>
      </c>
      <c r="Q14" s="403">
        <v>0</v>
      </c>
      <c r="R14" s="403">
        <v>0</v>
      </c>
      <c r="S14" s="403">
        <f t="shared" si="1"/>
        <v>0</v>
      </c>
      <c r="T14" s="403">
        <v>0</v>
      </c>
      <c r="U14" s="403">
        <v>0</v>
      </c>
      <c r="V14" s="403">
        <v>0</v>
      </c>
      <c r="W14" s="403">
        <v>0</v>
      </c>
      <c r="X14" s="403">
        <f t="shared" si="0"/>
        <v>0</v>
      </c>
      <c r="Y14" s="491" t="s">
        <v>1157</v>
      </c>
      <c r="Z14" s="397" t="s">
        <v>1069</v>
      </c>
    </row>
    <row r="15" spans="1:25" ht="23.25" customHeight="1">
      <c r="A15" s="398">
        <v>11</v>
      </c>
      <c r="B15" s="399" t="s">
        <v>1076</v>
      </c>
      <c r="C15" s="400" t="s">
        <v>1077</v>
      </c>
      <c r="D15" s="1439" t="s">
        <v>1078</v>
      </c>
      <c r="E15" s="1439"/>
      <c r="F15" s="401" t="s">
        <v>1051</v>
      </c>
      <c r="G15" s="398">
        <v>150</v>
      </c>
      <c r="H15" s="1438">
        <v>77</v>
      </c>
      <c r="I15" s="1438"/>
      <c r="J15" s="398">
        <v>350</v>
      </c>
      <c r="K15" s="398">
        <v>1410</v>
      </c>
      <c r="L15" s="398">
        <v>180</v>
      </c>
      <c r="M15" s="1438">
        <v>810</v>
      </c>
      <c r="N15" s="1438"/>
      <c r="O15" s="398">
        <v>180</v>
      </c>
      <c r="P15" s="404">
        <v>3500</v>
      </c>
      <c r="Q15" s="404">
        <v>1800</v>
      </c>
      <c r="R15" s="404">
        <v>4000</v>
      </c>
      <c r="S15" s="404">
        <f t="shared" si="1"/>
        <v>7200000</v>
      </c>
      <c r="T15" s="404">
        <v>2500000</v>
      </c>
      <c r="U15" s="404">
        <v>3700000</v>
      </c>
      <c r="V15" s="403">
        <v>0</v>
      </c>
      <c r="W15" s="404">
        <v>1000000</v>
      </c>
      <c r="X15" s="404">
        <f t="shared" si="0"/>
        <v>7200000</v>
      </c>
      <c r="Y15" s="491" t="s">
        <v>1055</v>
      </c>
    </row>
    <row r="16" spans="1:26" ht="33.75" customHeight="1">
      <c r="A16" s="398">
        <v>12</v>
      </c>
      <c r="B16" s="399" t="s">
        <v>1076</v>
      </c>
      <c r="C16" s="400" t="s">
        <v>1079</v>
      </c>
      <c r="D16" s="1439" t="s">
        <v>1080</v>
      </c>
      <c r="E16" s="1439"/>
      <c r="F16" s="401" t="s">
        <v>1051</v>
      </c>
      <c r="G16" s="398">
        <v>300</v>
      </c>
      <c r="H16" s="1438">
        <v>200</v>
      </c>
      <c r="I16" s="1438"/>
      <c r="J16" s="398">
        <v>600</v>
      </c>
      <c r="K16" s="398">
        <v>1862</v>
      </c>
      <c r="L16" s="398">
        <v>400</v>
      </c>
      <c r="M16" s="1438">
        <v>2800</v>
      </c>
      <c r="N16" s="1438"/>
      <c r="O16" s="398">
        <v>400</v>
      </c>
      <c r="P16" s="403">
        <v>0</v>
      </c>
      <c r="Q16" s="403">
        <v>0</v>
      </c>
      <c r="R16" s="403">
        <v>0</v>
      </c>
      <c r="S16" s="403">
        <v>0</v>
      </c>
      <c r="T16" s="403">
        <v>0</v>
      </c>
      <c r="U16" s="403">
        <v>0</v>
      </c>
      <c r="V16" s="403">
        <v>0</v>
      </c>
      <c r="W16" s="403">
        <v>0</v>
      </c>
      <c r="X16" s="403">
        <f t="shared" si="0"/>
        <v>0</v>
      </c>
      <c r="Y16" s="491" t="s">
        <v>1055</v>
      </c>
      <c r="Z16" s="397" t="s">
        <v>1081</v>
      </c>
    </row>
    <row r="17" spans="1:25" ht="33.75" customHeight="1">
      <c r="A17" s="398">
        <v>13</v>
      </c>
      <c r="B17" s="399" t="s">
        <v>1076</v>
      </c>
      <c r="C17" s="400" t="s">
        <v>1082</v>
      </c>
      <c r="D17" s="1439" t="s">
        <v>1083</v>
      </c>
      <c r="E17" s="1439"/>
      <c r="F17" s="401" t="s">
        <v>1051</v>
      </c>
      <c r="G17" s="398">
        <v>264</v>
      </c>
      <c r="H17" s="1438">
        <v>107</v>
      </c>
      <c r="I17" s="1438"/>
      <c r="J17" s="398">
        <v>316</v>
      </c>
      <c r="K17" s="398">
        <v>948</v>
      </c>
      <c r="L17" s="398">
        <v>241</v>
      </c>
      <c r="M17" s="1438">
        <v>964</v>
      </c>
      <c r="N17" s="1438"/>
      <c r="O17" s="398">
        <v>241</v>
      </c>
      <c r="P17" s="404">
        <v>3000</v>
      </c>
      <c r="Q17" s="404">
        <v>2000</v>
      </c>
      <c r="R17" s="404">
        <v>5500</v>
      </c>
      <c r="S17" s="404">
        <f aca="true" t="shared" si="2" ref="S17:S43">+R17*Q17</f>
        <v>11000000</v>
      </c>
      <c r="T17" s="404">
        <v>2500000</v>
      </c>
      <c r="U17" s="404">
        <v>7000000</v>
      </c>
      <c r="V17" s="403">
        <v>0</v>
      </c>
      <c r="W17" s="404">
        <v>500000</v>
      </c>
      <c r="X17" s="404">
        <f t="shared" si="0"/>
        <v>10000000</v>
      </c>
      <c r="Y17" s="491" t="s">
        <v>1064</v>
      </c>
    </row>
    <row r="18" spans="1:25" ht="30.75" customHeight="1">
      <c r="A18" s="398">
        <v>14</v>
      </c>
      <c r="B18" s="399" t="s">
        <v>1076</v>
      </c>
      <c r="C18" s="400" t="s">
        <v>1084</v>
      </c>
      <c r="D18" s="1439" t="s">
        <v>1085</v>
      </c>
      <c r="E18" s="1439"/>
      <c r="F18" s="401" t="s">
        <v>1051</v>
      </c>
      <c r="G18" s="398">
        <v>220</v>
      </c>
      <c r="H18" s="1438">
        <v>180</v>
      </c>
      <c r="I18" s="1438"/>
      <c r="J18" s="398">
        <v>476</v>
      </c>
      <c r="K18" s="398">
        <v>1353</v>
      </c>
      <c r="L18" s="398">
        <v>390</v>
      </c>
      <c r="M18" s="1438">
        <v>1203</v>
      </c>
      <c r="N18" s="1438"/>
      <c r="O18" s="398">
        <v>390</v>
      </c>
      <c r="P18" s="404">
        <v>4000</v>
      </c>
      <c r="Q18" s="404">
        <v>2000</v>
      </c>
      <c r="R18" s="404">
        <v>4000</v>
      </c>
      <c r="S18" s="404">
        <f t="shared" si="2"/>
        <v>8000000</v>
      </c>
      <c r="T18" s="404">
        <v>3000000</v>
      </c>
      <c r="U18" s="404">
        <v>4200000</v>
      </c>
      <c r="V18" s="404">
        <v>150000</v>
      </c>
      <c r="W18" s="404">
        <v>500000</v>
      </c>
      <c r="X18" s="404">
        <f t="shared" si="0"/>
        <v>7850000</v>
      </c>
      <c r="Y18" s="491" t="s">
        <v>1055</v>
      </c>
    </row>
    <row r="19" spans="1:26" ht="33.75" customHeight="1">
      <c r="A19" s="398">
        <v>15</v>
      </c>
      <c r="B19" s="399" t="s">
        <v>1076</v>
      </c>
      <c r="C19" s="400" t="s">
        <v>1086</v>
      </c>
      <c r="D19" s="1439" t="s">
        <v>1087</v>
      </c>
      <c r="E19" s="1439"/>
      <c r="F19" s="401" t="s">
        <v>1051</v>
      </c>
      <c r="G19" s="398">
        <v>230</v>
      </c>
      <c r="H19" s="1438">
        <v>108</v>
      </c>
      <c r="I19" s="1438"/>
      <c r="J19" s="398">
        <v>368</v>
      </c>
      <c r="K19" s="398">
        <v>1104</v>
      </c>
      <c r="L19" s="398">
        <v>197</v>
      </c>
      <c r="M19" s="1438">
        <v>887</v>
      </c>
      <c r="N19" s="1438"/>
      <c r="O19" s="398">
        <v>197</v>
      </c>
      <c r="P19" s="403">
        <v>0</v>
      </c>
      <c r="Q19" s="403">
        <v>0</v>
      </c>
      <c r="R19" s="403">
        <v>0</v>
      </c>
      <c r="S19" s="403">
        <f t="shared" si="2"/>
        <v>0</v>
      </c>
      <c r="T19" s="403">
        <v>0</v>
      </c>
      <c r="U19" s="403">
        <v>0</v>
      </c>
      <c r="V19" s="403">
        <v>0</v>
      </c>
      <c r="W19" s="403">
        <v>0</v>
      </c>
      <c r="X19" s="403">
        <f t="shared" si="0"/>
        <v>0</v>
      </c>
      <c r="Y19" s="491" t="s">
        <v>1055</v>
      </c>
      <c r="Z19" s="397" t="s">
        <v>1081</v>
      </c>
    </row>
    <row r="20" spans="1:25" ht="33.75" customHeight="1">
      <c r="A20" s="398">
        <v>16</v>
      </c>
      <c r="B20" s="399" t="s">
        <v>1076</v>
      </c>
      <c r="C20" s="400" t="s">
        <v>1088</v>
      </c>
      <c r="D20" s="1439" t="s">
        <v>1089</v>
      </c>
      <c r="E20" s="1439"/>
      <c r="F20" s="401" t="s">
        <v>1051</v>
      </c>
      <c r="G20" s="398">
        <v>108</v>
      </c>
      <c r="H20" s="1438">
        <v>66</v>
      </c>
      <c r="I20" s="1438"/>
      <c r="J20" s="398">
        <v>245</v>
      </c>
      <c r="K20" s="398">
        <v>735</v>
      </c>
      <c r="L20" s="398">
        <v>150</v>
      </c>
      <c r="M20" s="1438">
        <v>675</v>
      </c>
      <c r="N20" s="1438"/>
      <c r="O20" s="398">
        <v>150</v>
      </c>
      <c r="P20" s="404">
        <v>1500</v>
      </c>
      <c r="Q20" s="404">
        <v>700</v>
      </c>
      <c r="R20" s="404">
        <v>3000</v>
      </c>
      <c r="S20" s="404">
        <f t="shared" si="2"/>
        <v>2100000</v>
      </c>
      <c r="T20" s="404">
        <v>400000</v>
      </c>
      <c r="U20" s="404">
        <v>1500000</v>
      </c>
      <c r="V20" s="403">
        <v>0</v>
      </c>
      <c r="W20" s="404">
        <v>200000</v>
      </c>
      <c r="X20" s="404">
        <f t="shared" si="0"/>
        <v>2100000</v>
      </c>
      <c r="Y20" s="491" t="s">
        <v>1064</v>
      </c>
    </row>
    <row r="21" spans="1:26" ht="27.75" customHeight="1">
      <c r="A21" s="398">
        <v>17</v>
      </c>
      <c r="B21" s="399" t="s">
        <v>1090</v>
      </c>
      <c r="C21" s="400" t="s">
        <v>1091</v>
      </c>
      <c r="D21" s="1439" t="s">
        <v>1092</v>
      </c>
      <c r="E21" s="1439"/>
      <c r="F21" s="401" t="s">
        <v>1051</v>
      </c>
      <c r="G21" s="398">
        <v>800</v>
      </c>
      <c r="H21" s="1438">
        <v>0</v>
      </c>
      <c r="I21" s="1438"/>
      <c r="J21" s="398">
        <v>1200</v>
      </c>
      <c r="K21" s="398">
        <v>4000</v>
      </c>
      <c r="L21" s="398">
        <v>0</v>
      </c>
      <c r="M21" s="1438">
        <v>0</v>
      </c>
      <c r="N21" s="1438"/>
      <c r="O21" s="398">
        <v>0</v>
      </c>
      <c r="P21" s="403">
        <v>0</v>
      </c>
      <c r="Q21" s="403">
        <v>0</v>
      </c>
      <c r="R21" s="403">
        <v>0</v>
      </c>
      <c r="S21" s="403">
        <f t="shared" si="2"/>
        <v>0</v>
      </c>
      <c r="T21" s="403">
        <v>0</v>
      </c>
      <c r="U21" s="403">
        <v>0</v>
      </c>
      <c r="V21" s="403">
        <v>0</v>
      </c>
      <c r="W21" s="403">
        <v>0</v>
      </c>
      <c r="X21" s="403">
        <f t="shared" si="0"/>
        <v>0</v>
      </c>
      <c r="Y21" s="491" t="s">
        <v>1157</v>
      </c>
      <c r="Z21" s="397" t="s">
        <v>1062</v>
      </c>
    </row>
    <row r="22" spans="1:25" ht="27.75" customHeight="1">
      <c r="A22" s="398">
        <v>18</v>
      </c>
      <c r="B22" s="399" t="s">
        <v>1090</v>
      </c>
      <c r="C22" s="400" t="s">
        <v>1093</v>
      </c>
      <c r="D22" s="1439" t="s">
        <v>1094</v>
      </c>
      <c r="E22" s="1439"/>
      <c r="F22" s="401" t="s">
        <v>1051</v>
      </c>
      <c r="G22" s="398">
        <v>450</v>
      </c>
      <c r="H22" s="1438">
        <v>257</v>
      </c>
      <c r="I22" s="1438"/>
      <c r="J22" s="398">
        <v>600</v>
      </c>
      <c r="K22" s="398">
        <v>2100</v>
      </c>
      <c r="L22" s="398">
        <v>400</v>
      </c>
      <c r="M22" s="1438">
        <v>1400</v>
      </c>
      <c r="N22" s="1438"/>
      <c r="O22" s="398">
        <v>400</v>
      </c>
      <c r="P22" s="404">
        <v>4200</v>
      </c>
      <c r="Q22" s="404">
        <v>3360</v>
      </c>
      <c r="R22" s="404">
        <v>4500</v>
      </c>
      <c r="S22" s="404">
        <f t="shared" si="2"/>
        <v>15120000</v>
      </c>
      <c r="T22" s="404">
        <v>7500000</v>
      </c>
      <c r="U22" s="404">
        <v>6500000</v>
      </c>
      <c r="V22" s="404">
        <v>200000</v>
      </c>
      <c r="W22" s="404">
        <v>700000</v>
      </c>
      <c r="X22" s="404">
        <f t="shared" si="0"/>
        <v>14900000</v>
      </c>
      <c r="Y22" s="491" t="s">
        <v>1064</v>
      </c>
    </row>
    <row r="23" spans="1:25" ht="33.75" customHeight="1">
      <c r="A23" s="398">
        <v>19</v>
      </c>
      <c r="B23" s="399" t="s">
        <v>1090</v>
      </c>
      <c r="C23" s="400" t="s">
        <v>1095</v>
      </c>
      <c r="D23" s="1439" t="s">
        <v>1096</v>
      </c>
      <c r="E23" s="1439"/>
      <c r="F23" s="401" t="s">
        <v>1051</v>
      </c>
      <c r="G23" s="398">
        <v>262</v>
      </c>
      <c r="H23" s="1438">
        <v>393</v>
      </c>
      <c r="I23" s="1438"/>
      <c r="J23" s="398">
        <v>800</v>
      </c>
      <c r="K23" s="398">
        <v>2400</v>
      </c>
      <c r="L23" s="398">
        <v>1200</v>
      </c>
      <c r="M23" s="1438">
        <v>4200</v>
      </c>
      <c r="N23" s="1438"/>
      <c r="O23" s="398">
        <v>1200</v>
      </c>
      <c r="P23" s="404">
        <v>9000</v>
      </c>
      <c r="Q23" s="404">
        <v>6000</v>
      </c>
      <c r="R23" s="404">
        <v>5300</v>
      </c>
      <c r="S23" s="404">
        <f t="shared" si="2"/>
        <v>31800000</v>
      </c>
      <c r="T23" s="404">
        <v>20000000</v>
      </c>
      <c r="U23" s="404">
        <v>6200000</v>
      </c>
      <c r="V23" s="403">
        <v>0</v>
      </c>
      <c r="W23" s="404">
        <v>1000000</v>
      </c>
      <c r="X23" s="404">
        <f t="shared" si="0"/>
        <v>27200000</v>
      </c>
      <c r="Y23" s="491" t="s">
        <v>1097</v>
      </c>
    </row>
    <row r="24" spans="1:26" ht="33.75" customHeight="1">
      <c r="A24" s="398">
        <v>20</v>
      </c>
      <c r="B24" s="399" t="s">
        <v>1090</v>
      </c>
      <c r="C24" s="400" t="s">
        <v>1098</v>
      </c>
      <c r="D24" s="1439" t="s">
        <v>1099</v>
      </c>
      <c r="E24" s="1439"/>
      <c r="F24" s="401" t="s">
        <v>1051</v>
      </c>
      <c r="G24" s="398">
        <v>800</v>
      </c>
      <c r="H24" s="1438">
        <v>222</v>
      </c>
      <c r="I24" s="1438"/>
      <c r="J24" s="398">
        <v>964</v>
      </c>
      <c r="K24" s="398">
        <v>2892</v>
      </c>
      <c r="L24" s="398">
        <v>500</v>
      </c>
      <c r="M24" s="1438">
        <v>1750</v>
      </c>
      <c r="N24" s="1438"/>
      <c r="O24" s="398">
        <v>500</v>
      </c>
      <c r="P24" s="403">
        <v>0</v>
      </c>
      <c r="Q24" s="403">
        <v>0</v>
      </c>
      <c r="R24" s="403">
        <v>0</v>
      </c>
      <c r="S24" s="403">
        <f t="shared" si="2"/>
        <v>0</v>
      </c>
      <c r="T24" s="403">
        <v>0</v>
      </c>
      <c r="U24" s="403">
        <v>0</v>
      </c>
      <c r="V24" s="403">
        <v>0</v>
      </c>
      <c r="W24" s="403">
        <v>0</v>
      </c>
      <c r="X24" s="403">
        <f t="shared" si="0"/>
        <v>0</v>
      </c>
      <c r="Y24" s="492"/>
      <c r="Z24" s="397" t="s">
        <v>1062</v>
      </c>
    </row>
    <row r="25" spans="1:25" ht="27.75" customHeight="1">
      <c r="A25" s="398">
        <v>21</v>
      </c>
      <c r="B25" s="399" t="s">
        <v>1090</v>
      </c>
      <c r="C25" s="400" t="s">
        <v>1100</v>
      </c>
      <c r="D25" s="1439" t="s">
        <v>1101</v>
      </c>
      <c r="E25" s="1439"/>
      <c r="F25" s="401" t="s">
        <v>1051</v>
      </c>
      <c r="G25" s="398">
        <v>400</v>
      </c>
      <c r="H25" s="1438">
        <v>146</v>
      </c>
      <c r="I25" s="1438"/>
      <c r="J25" s="398">
        <v>1000</v>
      </c>
      <c r="K25" s="398">
        <v>3500</v>
      </c>
      <c r="L25" s="398">
        <v>400</v>
      </c>
      <c r="M25" s="1438">
        <v>1400</v>
      </c>
      <c r="N25" s="1438"/>
      <c r="O25" s="398">
        <v>400</v>
      </c>
      <c r="P25" s="404">
        <v>3900</v>
      </c>
      <c r="Q25" s="404">
        <v>2600</v>
      </c>
      <c r="R25" s="404">
        <v>4000</v>
      </c>
      <c r="S25" s="404">
        <f t="shared" si="2"/>
        <v>10400000</v>
      </c>
      <c r="T25" s="404">
        <v>6000000</v>
      </c>
      <c r="U25" s="404">
        <v>3300000</v>
      </c>
      <c r="V25" s="403">
        <v>0</v>
      </c>
      <c r="W25" s="404">
        <v>600000</v>
      </c>
      <c r="X25" s="404">
        <f t="shared" si="0"/>
        <v>9900000</v>
      </c>
      <c r="Y25" s="491" t="s">
        <v>1052</v>
      </c>
    </row>
    <row r="26" spans="1:25" ht="33.75" customHeight="1">
      <c r="A26" s="398">
        <v>22</v>
      </c>
      <c r="B26" s="399" t="s">
        <v>1090</v>
      </c>
      <c r="C26" s="400" t="s">
        <v>1102</v>
      </c>
      <c r="D26" s="1439" t="s">
        <v>1103</v>
      </c>
      <c r="E26" s="1439"/>
      <c r="F26" s="401" t="s">
        <v>1051</v>
      </c>
      <c r="G26" s="398">
        <v>637</v>
      </c>
      <c r="H26" s="1438">
        <v>324</v>
      </c>
      <c r="I26" s="1438"/>
      <c r="J26" s="398">
        <v>1200</v>
      </c>
      <c r="K26" s="398">
        <v>4800</v>
      </c>
      <c r="L26" s="398">
        <v>610</v>
      </c>
      <c r="M26" s="1438">
        <v>2440</v>
      </c>
      <c r="N26" s="1438"/>
      <c r="O26" s="398">
        <v>610</v>
      </c>
      <c r="P26" s="404">
        <v>7000</v>
      </c>
      <c r="Q26" s="404">
        <v>5000</v>
      </c>
      <c r="R26" s="404">
        <v>4600</v>
      </c>
      <c r="S26" s="404">
        <f t="shared" si="2"/>
        <v>23000000</v>
      </c>
      <c r="T26" s="404">
        <v>12000000</v>
      </c>
      <c r="U26" s="404">
        <v>8000000</v>
      </c>
      <c r="V26" s="403">
        <v>0</v>
      </c>
      <c r="W26" s="404">
        <v>1000000</v>
      </c>
      <c r="X26" s="404">
        <f t="shared" si="0"/>
        <v>21000000</v>
      </c>
      <c r="Y26" s="491" t="s">
        <v>1052</v>
      </c>
    </row>
    <row r="27" spans="1:25" ht="33.75" customHeight="1">
      <c r="A27" s="398">
        <v>23</v>
      </c>
      <c r="B27" s="399" t="s">
        <v>1104</v>
      </c>
      <c r="C27" s="400" t="s">
        <v>1105</v>
      </c>
      <c r="D27" s="1439" t="s">
        <v>1106</v>
      </c>
      <c r="E27" s="1439"/>
      <c r="F27" s="401" t="s">
        <v>1051</v>
      </c>
      <c r="G27" s="398">
        <v>108</v>
      </c>
      <c r="H27" s="1438">
        <v>54</v>
      </c>
      <c r="I27" s="1438"/>
      <c r="J27" s="398">
        <v>320</v>
      </c>
      <c r="K27" s="398">
        <v>864</v>
      </c>
      <c r="L27" s="398">
        <v>150</v>
      </c>
      <c r="M27" s="1438">
        <v>600</v>
      </c>
      <c r="N27" s="1438"/>
      <c r="O27" s="398">
        <v>150</v>
      </c>
      <c r="P27" s="404">
        <v>3000</v>
      </c>
      <c r="Q27" s="404">
        <v>1800</v>
      </c>
      <c r="R27" s="404">
        <v>7000</v>
      </c>
      <c r="S27" s="404">
        <f t="shared" si="2"/>
        <v>12600000</v>
      </c>
      <c r="T27" s="404">
        <v>9500000</v>
      </c>
      <c r="U27" s="404">
        <v>1700000</v>
      </c>
      <c r="V27" s="403">
        <v>0</v>
      </c>
      <c r="W27" s="404">
        <v>1000000</v>
      </c>
      <c r="X27" s="404">
        <f t="shared" si="0"/>
        <v>12200000</v>
      </c>
      <c r="Y27" s="491" t="s">
        <v>1064</v>
      </c>
    </row>
    <row r="28" spans="1:26" ht="33.75" customHeight="1">
      <c r="A28" s="398">
        <v>24</v>
      </c>
      <c r="B28" s="399" t="s">
        <v>1104</v>
      </c>
      <c r="C28" s="400" t="s">
        <v>1107</v>
      </c>
      <c r="D28" s="1439" t="s">
        <v>1108</v>
      </c>
      <c r="E28" s="1439"/>
      <c r="F28" s="401" t="s">
        <v>1051</v>
      </c>
      <c r="G28" s="398">
        <v>173</v>
      </c>
      <c r="H28" s="1438">
        <v>43</v>
      </c>
      <c r="I28" s="1438"/>
      <c r="J28" s="398">
        <v>542</v>
      </c>
      <c r="K28" s="398">
        <v>1626</v>
      </c>
      <c r="L28" s="398">
        <v>150</v>
      </c>
      <c r="M28" s="1438">
        <v>600</v>
      </c>
      <c r="N28" s="1438"/>
      <c r="O28" s="398">
        <v>150</v>
      </c>
      <c r="P28" s="403">
        <v>0</v>
      </c>
      <c r="Q28" s="403">
        <v>0</v>
      </c>
      <c r="R28" s="403">
        <v>0</v>
      </c>
      <c r="S28" s="403">
        <f t="shared" si="2"/>
        <v>0</v>
      </c>
      <c r="T28" s="403">
        <v>0</v>
      </c>
      <c r="U28" s="403">
        <v>0</v>
      </c>
      <c r="V28" s="403">
        <v>0</v>
      </c>
      <c r="W28" s="403">
        <v>0</v>
      </c>
      <c r="X28" s="403">
        <f t="shared" si="0"/>
        <v>0</v>
      </c>
      <c r="Y28" s="491" t="s">
        <v>1157</v>
      </c>
      <c r="Z28" s="397" t="s">
        <v>1062</v>
      </c>
    </row>
    <row r="29" spans="1:25" ht="33.75" customHeight="1">
      <c r="A29" s="398">
        <v>25</v>
      </c>
      <c r="B29" s="399" t="s">
        <v>1104</v>
      </c>
      <c r="C29" s="400" t="s">
        <v>1109</v>
      </c>
      <c r="D29" s="1439" t="s">
        <v>1110</v>
      </c>
      <c r="E29" s="1439"/>
      <c r="F29" s="401" t="s">
        <v>1051</v>
      </c>
      <c r="G29" s="398">
        <v>360</v>
      </c>
      <c r="H29" s="1438">
        <v>44</v>
      </c>
      <c r="I29" s="1438"/>
      <c r="J29" s="398">
        <v>420</v>
      </c>
      <c r="K29" s="398">
        <v>1260</v>
      </c>
      <c r="L29" s="398">
        <v>110</v>
      </c>
      <c r="M29" s="1438">
        <v>440</v>
      </c>
      <c r="N29" s="1438"/>
      <c r="O29" s="398">
        <v>110</v>
      </c>
      <c r="P29" s="404">
        <v>1000</v>
      </c>
      <c r="Q29" s="404">
        <v>500</v>
      </c>
      <c r="R29" s="404">
        <v>5000</v>
      </c>
      <c r="S29" s="404">
        <f t="shared" si="2"/>
        <v>2500000</v>
      </c>
      <c r="T29" s="403">
        <v>0</v>
      </c>
      <c r="U29" s="404">
        <v>2000000</v>
      </c>
      <c r="V29" s="404">
        <v>100000</v>
      </c>
      <c r="W29" s="404">
        <v>400000</v>
      </c>
      <c r="X29" s="404">
        <f t="shared" si="0"/>
        <v>2500000</v>
      </c>
      <c r="Y29" s="491" t="s">
        <v>1064</v>
      </c>
    </row>
    <row r="30" spans="1:26" ht="33.75" customHeight="1">
      <c r="A30" s="398">
        <v>26</v>
      </c>
      <c r="B30" s="399" t="s">
        <v>1111</v>
      </c>
      <c r="C30" s="400" t="s">
        <v>1112</v>
      </c>
      <c r="D30" s="1439" t="s">
        <v>1113</v>
      </c>
      <c r="E30" s="1439"/>
      <c r="F30" s="401" t="s">
        <v>1051</v>
      </c>
      <c r="G30" s="398">
        <v>750</v>
      </c>
      <c r="H30" s="1438">
        <v>668</v>
      </c>
      <c r="I30" s="1438"/>
      <c r="J30" s="398">
        <v>945</v>
      </c>
      <c r="K30" s="398">
        <v>2835</v>
      </c>
      <c r="L30" s="398">
        <v>936</v>
      </c>
      <c r="M30" s="1438">
        <v>2773</v>
      </c>
      <c r="N30" s="1438"/>
      <c r="O30" s="398">
        <v>661</v>
      </c>
      <c r="P30" s="403">
        <v>0</v>
      </c>
      <c r="Q30" s="403">
        <v>0</v>
      </c>
      <c r="R30" s="403">
        <v>0</v>
      </c>
      <c r="S30" s="403">
        <f t="shared" si="2"/>
        <v>0</v>
      </c>
      <c r="T30" s="403">
        <v>0</v>
      </c>
      <c r="U30" s="403">
        <v>0</v>
      </c>
      <c r="V30" s="403">
        <v>0</v>
      </c>
      <c r="W30" s="403">
        <v>0</v>
      </c>
      <c r="X30" s="403">
        <f t="shared" si="0"/>
        <v>0</v>
      </c>
      <c r="Y30" s="491" t="s">
        <v>1157</v>
      </c>
      <c r="Z30" s="397" t="s">
        <v>1062</v>
      </c>
    </row>
    <row r="31" spans="1:26" ht="33.75" customHeight="1">
      <c r="A31" s="398">
        <v>27</v>
      </c>
      <c r="B31" s="399" t="s">
        <v>1111</v>
      </c>
      <c r="C31" s="400" t="s">
        <v>1114</v>
      </c>
      <c r="D31" s="1439" t="s">
        <v>1115</v>
      </c>
      <c r="E31" s="1439"/>
      <c r="F31" s="401" t="s">
        <v>1051</v>
      </c>
      <c r="G31" s="398">
        <v>250</v>
      </c>
      <c r="H31" s="1438">
        <v>170</v>
      </c>
      <c r="I31" s="1438"/>
      <c r="J31" s="398">
        <v>502</v>
      </c>
      <c r="K31" s="398">
        <v>1280</v>
      </c>
      <c r="L31" s="398">
        <v>342</v>
      </c>
      <c r="M31" s="1438">
        <v>1197</v>
      </c>
      <c r="N31" s="1438"/>
      <c r="O31" s="398">
        <v>342</v>
      </c>
      <c r="P31" s="403">
        <v>0</v>
      </c>
      <c r="Q31" s="403">
        <v>0</v>
      </c>
      <c r="R31" s="403">
        <v>0</v>
      </c>
      <c r="S31" s="403">
        <f t="shared" si="2"/>
        <v>0</v>
      </c>
      <c r="T31" s="403">
        <v>0</v>
      </c>
      <c r="U31" s="403">
        <v>0</v>
      </c>
      <c r="V31" s="403">
        <v>0</v>
      </c>
      <c r="W31" s="403">
        <v>0</v>
      </c>
      <c r="X31" s="403">
        <f t="shared" si="0"/>
        <v>0</v>
      </c>
      <c r="Y31" s="491" t="s">
        <v>1055</v>
      </c>
      <c r="Z31" s="397" t="s">
        <v>1081</v>
      </c>
    </row>
    <row r="32" spans="1:25" ht="25.5" customHeight="1">
      <c r="A32" s="398">
        <v>28</v>
      </c>
      <c r="B32" s="399" t="s">
        <v>1111</v>
      </c>
      <c r="C32" s="400" t="s">
        <v>1116</v>
      </c>
      <c r="D32" s="1439" t="s">
        <v>1117</v>
      </c>
      <c r="E32" s="1439"/>
      <c r="F32" s="401" t="s">
        <v>1051</v>
      </c>
      <c r="G32" s="398">
        <v>269</v>
      </c>
      <c r="H32" s="1438">
        <v>119</v>
      </c>
      <c r="I32" s="1438"/>
      <c r="J32" s="398">
        <v>576</v>
      </c>
      <c r="K32" s="398">
        <v>1728</v>
      </c>
      <c r="L32" s="398">
        <v>250</v>
      </c>
      <c r="M32" s="1438">
        <v>1000</v>
      </c>
      <c r="N32" s="1438"/>
      <c r="O32" s="398">
        <v>250</v>
      </c>
      <c r="P32" s="404">
        <v>2000</v>
      </c>
      <c r="Q32" s="404">
        <v>1000</v>
      </c>
      <c r="R32" s="404">
        <v>6000</v>
      </c>
      <c r="S32" s="404">
        <f t="shared" si="2"/>
        <v>6000000</v>
      </c>
      <c r="T32" s="404">
        <v>700000</v>
      </c>
      <c r="U32" s="404">
        <v>4000000</v>
      </c>
      <c r="V32" s="404">
        <v>100000</v>
      </c>
      <c r="W32" s="404">
        <v>1000000</v>
      </c>
      <c r="X32" s="404">
        <f t="shared" si="0"/>
        <v>5800000</v>
      </c>
      <c r="Y32" s="491" t="s">
        <v>1055</v>
      </c>
    </row>
    <row r="33" spans="1:25" ht="33.75" customHeight="1">
      <c r="A33" s="398">
        <v>29</v>
      </c>
      <c r="B33" s="399" t="s">
        <v>1118</v>
      </c>
      <c r="C33" s="400" t="s">
        <v>1119</v>
      </c>
      <c r="D33" s="1439" t="s">
        <v>1120</v>
      </c>
      <c r="E33" s="1439"/>
      <c r="F33" s="401" t="s">
        <v>1051</v>
      </c>
      <c r="G33" s="398">
        <v>690</v>
      </c>
      <c r="H33" s="1438">
        <v>402</v>
      </c>
      <c r="I33" s="1438"/>
      <c r="J33" s="398">
        <v>600</v>
      </c>
      <c r="K33" s="398">
        <v>2400</v>
      </c>
      <c r="L33" s="398">
        <v>300</v>
      </c>
      <c r="M33" s="1438">
        <v>1200</v>
      </c>
      <c r="N33" s="1438"/>
      <c r="O33" s="398">
        <v>300</v>
      </c>
      <c r="P33" s="404">
        <v>1800</v>
      </c>
      <c r="Q33" s="404">
        <v>1200</v>
      </c>
      <c r="R33" s="404">
        <v>3500</v>
      </c>
      <c r="S33" s="404">
        <f t="shared" si="2"/>
        <v>4200000</v>
      </c>
      <c r="T33" s="404">
        <v>100000</v>
      </c>
      <c r="U33" s="404">
        <v>4000000</v>
      </c>
      <c r="V33" s="403">
        <v>0</v>
      </c>
      <c r="W33" s="404">
        <v>100000</v>
      </c>
      <c r="X33" s="404">
        <f t="shared" si="0"/>
        <v>4200000</v>
      </c>
      <c r="Y33" s="491" t="s">
        <v>1055</v>
      </c>
    </row>
    <row r="34" spans="1:26" ht="33.75" customHeight="1">
      <c r="A34" s="398">
        <v>30</v>
      </c>
      <c r="B34" s="399" t="s">
        <v>1118</v>
      </c>
      <c r="C34" s="400" t="s">
        <v>1121</v>
      </c>
      <c r="D34" s="1439" t="s">
        <v>1122</v>
      </c>
      <c r="E34" s="1439"/>
      <c r="F34" s="401" t="s">
        <v>1051</v>
      </c>
      <c r="G34" s="398">
        <v>240</v>
      </c>
      <c r="H34" s="1438">
        <v>150</v>
      </c>
      <c r="I34" s="1438"/>
      <c r="J34" s="398">
        <v>400</v>
      </c>
      <c r="K34" s="398">
        <v>2200</v>
      </c>
      <c r="L34" s="398">
        <v>250</v>
      </c>
      <c r="M34" s="1438">
        <v>1375</v>
      </c>
      <c r="N34" s="1438"/>
      <c r="O34" s="398">
        <v>250</v>
      </c>
      <c r="P34" s="403">
        <v>0</v>
      </c>
      <c r="Q34" s="403">
        <v>0</v>
      </c>
      <c r="R34" s="403">
        <v>0</v>
      </c>
      <c r="S34" s="403">
        <f t="shared" si="2"/>
        <v>0</v>
      </c>
      <c r="T34" s="403">
        <v>0</v>
      </c>
      <c r="U34" s="403">
        <v>0</v>
      </c>
      <c r="V34" s="403">
        <v>0</v>
      </c>
      <c r="W34" s="403">
        <v>0</v>
      </c>
      <c r="X34" s="403">
        <f t="shared" si="0"/>
        <v>0</v>
      </c>
      <c r="Y34" s="491" t="s">
        <v>1157</v>
      </c>
      <c r="Z34" s="397" t="s">
        <v>1062</v>
      </c>
    </row>
    <row r="35" spans="1:25" ht="29.25" customHeight="1">
      <c r="A35" s="398">
        <v>31</v>
      </c>
      <c r="B35" s="399" t="s">
        <v>1118</v>
      </c>
      <c r="C35" s="400" t="s">
        <v>1123</v>
      </c>
      <c r="D35" s="1439" t="s">
        <v>1124</v>
      </c>
      <c r="E35" s="1439"/>
      <c r="F35" s="401" t="s">
        <v>1051</v>
      </c>
      <c r="G35" s="398">
        <v>850</v>
      </c>
      <c r="H35" s="1438">
        <v>255</v>
      </c>
      <c r="I35" s="1438"/>
      <c r="J35" s="398">
        <v>600</v>
      </c>
      <c r="K35" s="398">
        <v>3000</v>
      </c>
      <c r="L35" s="398">
        <v>180</v>
      </c>
      <c r="M35" s="1438">
        <v>900</v>
      </c>
      <c r="N35" s="1438"/>
      <c r="O35" s="398">
        <v>180</v>
      </c>
      <c r="P35" s="404">
        <v>2500</v>
      </c>
      <c r="Q35" s="404">
        <v>1900</v>
      </c>
      <c r="R35" s="404">
        <v>4500</v>
      </c>
      <c r="S35" s="404">
        <f t="shared" si="2"/>
        <v>8550000</v>
      </c>
      <c r="T35" s="404">
        <v>4000000</v>
      </c>
      <c r="U35" s="404">
        <v>3500000</v>
      </c>
      <c r="V35" s="404">
        <v>100000</v>
      </c>
      <c r="W35" s="404">
        <v>500000</v>
      </c>
      <c r="X35" s="404">
        <f t="shared" si="0"/>
        <v>8100000</v>
      </c>
      <c r="Y35" s="491" t="s">
        <v>1055</v>
      </c>
    </row>
    <row r="36" spans="1:25" ht="33.75" customHeight="1">
      <c r="A36" s="398">
        <v>32</v>
      </c>
      <c r="B36" s="399" t="s">
        <v>1125</v>
      </c>
      <c r="C36" s="400" t="s">
        <v>1126</v>
      </c>
      <c r="D36" s="1439" t="s">
        <v>1127</v>
      </c>
      <c r="E36" s="1439"/>
      <c r="F36" s="401" t="s">
        <v>1051</v>
      </c>
      <c r="G36" s="398">
        <v>182</v>
      </c>
      <c r="H36" s="1438">
        <v>124</v>
      </c>
      <c r="I36" s="1438"/>
      <c r="J36" s="398">
        <v>263</v>
      </c>
      <c r="K36" s="398">
        <v>1052</v>
      </c>
      <c r="L36" s="398">
        <v>180</v>
      </c>
      <c r="M36" s="1438">
        <v>720</v>
      </c>
      <c r="N36" s="1438"/>
      <c r="O36" s="398">
        <v>180</v>
      </c>
      <c r="P36" s="404">
        <v>1500</v>
      </c>
      <c r="Q36" s="404">
        <v>950</v>
      </c>
      <c r="R36" s="404">
        <v>5000</v>
      </c>
      <c r="S36" s="404">
        <f t="shared" si="2"/>
        <v>4750000</v>
      </c>
      <c r="T36" s="404">
        <v>500000</v>
      </c>
      <c r="U36" s="404">
        <v>3600000</v>
      </c>
      <c r="V36" s="404">
        <v>100000</v>
      </c>
      <c r="W36" s="404">
        <v>500000</v>
      </c>
      <c r="X36" s="404">
        <f t="shared" si="0"/>
        <v>4700000</v>
      </c>
      <c r="Y36" s="491" t="s">
        <v>1158</v>
      </c>
    </row>
    <row r="37" spans="1:25" ht="22.5">
      <c r="A37" s="398">
        <v>33</v>
      </c>
      <c r="B37" s="399" t="s">
        <v>1128</v>
      </c>
      <c r="C37" s="400" t="s">
        <v>1129</v>
      </c>
      <c r="D37" s="1439" t="s">
        <v>1130</v>
      </c>
      <c r="E37" s="1439"/>
      <c r="F37" s="401" t="s">
        <v>1051</v>
      </c>
      <c r="G37" s="398">
        <v>580</v>
      </c>
      <c r="H37" s="1438">
        <v>109</v>
      </c>
      <c r="I37" s="1438"/>
      <c r="J37" s="398">
        <v>1330</v>
      </c>
      <c r="K37" s="398">
        <v>5860</v>
      </c>
      <c r="L37" s="398">
        <v>250</v>
      </c>
      <c r="M37" s="1438">
        <v>1250</v>
      </c>
      <c r="N37" s="1438"/>
      <c r="O37" s="398">
        <v>250</v>
      </c>
      <c r="P37" s="404">
        <v>1000</v>
      </c>
      <c r="Q37" s="404">
        <v>700</v>
      </c>
      <c r="R37" s="404">
        <v>5000</v>
      </c>
      <c r="S37" s="404">
        <f t="shared" si="2"/>
        <v>3500000</v>
      </c>
      <c r="T37" s="404">
        <v>700000</v>
      </c>
      <c r="U37" s="404">
        <v>2500000</v>
      </c>
      <c r="V37" s="404">
        <v>60000</v>
      </c>
      <c r="W37" s="404">
        <v>200000</v>
      </c>
      <c r="X37" s="404">
        <f t="shared" si="0"/>
        <v>3460000</v>
      </c>
      <c r="Y37" s="491" t="s">
        <v>1052</v>
      </c>
    </row>
    <row r="38" spans="1:26" ht="22.5">
      <c r="A38" s="398">
        <v>34</v>
      </c>
      <c r="B38" s="399" t="s">
        <v>1128</v>
      </c>
      <c r="C38" s="400" t="s">
        <v>1131</v>
      </c>
      <c r="D38" s="1439" t="s">
        <v>1132</v>
      </c>
      <c r="E38" s="1439"/>
      <c r="F38" s="401" t="s">
        <v>1051</v>
      </c>
      <c r="G38" s="398">
        <v>450</v>
      </c>
      <c r="H38" s="1438">
        <v>0</v>
      </c>
      <c r="I38" s="1438"/>
      <c r="J38" s="398">
        <v>500</v>
      </c>
      <c r="K38" s="398">
        <v>2151</v>
      </c>
      <c r="L38" s="398">
        <v>0</v>
      </c>
      <c r="M38" s="1438">
        <v>0</v>
      </c>
      <c r="N38" s="1438"/>
      <c r="O38" s="398">
        <v>0</v>
      </c>
      <c r="P38" s="403">
        <v>0</v>
      </c>
      <c r="Q38" s="403">
        <v>0</v>
      </c>
      <c r="R38" s="403">
        <v>0</v>
      </c>
      <c r="S38" s="403">
        <f t="shared" si="2"/>
        <v>0</v>
      </c>
      <c r="T38" s="403">
        <v>0</v>
      </c>
      <c r="U38" s="403">
        <v>0</v>
      </c>
      <c r="V38" s="403">
        <v>0</v>
      </c>
      <c r="W38" s="403">
        <v>0</v>
      </c>
      <c r="X38" s="403">
        <f t="shared" si="0"/>
        <v>0</v>
      </c>
      <c r="Y38" s="491" t="s">
        <v>1157</v>
      </c>
      <c r="Z38" s="397" t="s">
        <v>1062</v>
      </c>
    </row>
    <row r="39" spans="1:26" ht="33.75" customHeight="1">
      <c r="A39" s="398">
        <v>35</v>
      </c>
      <c r="B39" s="399" t="s">
        <v>455</v>
      </c>
      <c r="C39" s="400" t="s">
        <v>1133</v>
      </c>
      <c r="D39" s="1439" t="s">
        <v>1134</v>
      </c>
      <c r="E39" s="1439"/>
      <c r="F39" s="401" t="s">
        <v>1051</v>
      </c>
      <c r="G39" s="398">
        <v>200</v>
      </c>
      <c r="H39" s="1438">
        <v>0</v>
      </c>
      <c r="I39" s="1438"/>
      <c r="J39" s="398">
        <v>425</v>
      </c>
      <c r="K39" s="398">
        <v>1275</v>
      </c>
      <c r="L39" s="398">
        <v>0</v>
      </c>
      <c r="M39" s="1438">
        <v>0</v>
      </c>
      <c r="N39" s="1438"/>
      <c r="O39" s="398">
        <v>0</v>
      </c>
      <c r="P39" s="403">
        <v>0</v>
      </c>
      <c r="Q39" s="403">
        <v>0</v>
      </c>
      <c r="R39" s="403">
        <v>0</v>
      </c>
      <c r="S39" s="403">
        <f t="shared" si="2"/>
        <v>0</v>
      </c>
      <c r="T39" s="403">
        <v>0</v>
      </c>
      <c r="U39" s="403">
        <v>0</v>
      </c>
      <c r="V39" s="403">
        <v>0</v>
      </c>
      <c r="W39" s="403">
        <v>0</v>
      </c>
      <c r="X39" s="403">
        <f t="shared" si="0"/>
        <v>0</v>
      </c>
      <c r="Y39" s="491" t="s">
        <v>1157</v>
      </c>
      <c r="Z39" s="397" t="s">
        <v>1062</v>
      </c>
    </row>
    <row r="40" spans="1:26" ht="24" customHeight="1">
      <c r="A40" s="398">
        <v>36</v>
      </c>
      <c r="B40" s="399" t="s">
        <v>455</v>
      </c>
      <c r="C40" s="400" t="s">
        <v>1135</v>
      </c>
      <c r="D40" s="1439" t="s">
        <v>1136</v>
      </c>
      <c r="E40" s="1439"/>
      <c r="F40" s="401" t="s">
        <v>1051</v>
      </c>
      <c r="G40" s="398">
        <v>150</v>
      </c>
      <c r="H40" s="1438">
        <v>0</v>
      </c>
      <c r="I40" s="1438"/>
      <c r="J40" s="398">
        <v>296</v>
      </c>
      <c r="K40" s="398">
        <v>628</v>
      </c>
      <c r="L40" s="398">
        <v>0</v>
      </c>
      <c r="M40" s="1438">
        <v>0</v>
      </c>
      <c r="N40" s="1438"/>
      <c r="O40" s="398">
        <v>0</v>
      </c>
      <c r="P40" s="403">
        <v>0</v>
      </c>
      <c r="Q40" s="403">
        <v>0</v>
      </c>
      <c r="R40" s="403">
        <v>0</v>
      </c>
      <c r="S40" s="403">
        <f t="shared" si="2"/>
        <v>0</v>
      </c>
      <c r="T40" s="403">
        <v>0</v>
      </c>
      <c r="U40" s="403">
        <v>0</v>
      </c>
      <c r="V40" s="403">
        <v>0</v>
      </c>
      <c r="W40" s="403">
        <v>0</v>
      </c>
      <c r="X40" s="403">
        <f t="shared" si="0"/>
        <v>0</v>
      </c>
      <c r="Y40" s="491" t="s">
        <v>1157</v>
      </c>
      <c r="Z40" s="397" t="s">
        <v>1069</v>
      </c>
    </row>
    <row r="41" spans="1:26" ht="27.75" customHeight="1">
      <c r="A41" s="398">
        <v>37</v>
      </c>
      <c r="B41" s="399" t="s">
        <v>455</v>
      </c>
      <c r="C41" s="400" t="s">
        <v>1137</v>
      </c>
      <c r="D41" s="1439" t="s">
        <v>1138</v>
      </c>
      <c r="E41" s="1439"/>
      <c r="F41" s="401" t="s">
        <v>1051</v>
      </c>
      <c r="G41" s="398">
        <v>119</v>
      </c>
      <c r="H41" s="1438">
        <v>95</v>
      </c>
      <c r="I41" s="1438"/>
      <c r="J41" s="398">
        <v>300</v>
      </c>
      <c r="K41" s="398">
        <v>1230</v>
      </c>
      <c r="L41" s="398">
        <v>240</v>
      </c>
      <c r="M41" s="1438">
        <v>984</v>
      </c>
      <c r="N41" s="1438"/>
      <c r="O41" s="398">
        <v>240</v>
      </c>
      <c r="P41" s="403">
        <v>0</v>
      </c>
      <c r="Q41" s="403">
        <v>0</v>
      </c>
      <c r="R41" s="403">
        <v>0</v>
      </c>
      <c r="S41" s="403">
        <f t="shared" si="2"/>
        <v>0</v>
      </c>
      <c r="T41" s="403">
        <v>0</v>
      </c>
      <c r="U41" s="403">
        <v>0</v>
      </c>
      <c r="V41" s="403">
        <v>0</v>
      </c>
      <c r="W41" s="403">
        <v>0</v>
      </c>
      <c r="X41" s="403">
        <f t="shared" si="0"/>
        <v>0</v>
      </c>
      <c r="Y41" s="491" t="s">
        <v>1157</v>
      </c>
      <c r="Z41" s="397" t="s">
        <v>1062</v>
      </c>
    </row>
    <row r="42" spans="1:25" ht="23.25" customHeight="1">
      <c r="A42" s="398">
        <v>38</v>
      </c>
      <c r="B42" s="399" t="s">
        <v>455</v>
      </c>
      <c r="C42" s="400" t="s">
        <v>1139</v>
      </c>
      <c r="D42" s="1439" t="s">
        <v>1140</v>
      </c>
      <c r="E42" s="1439"/>
      <c r="F42" s="401" t="s">
        <v>1051</v>
      </c>
      <c r="G42" s="398">
        <v>29</v>
      </c>
      <c r="H42" s="1438">
        <v>8</v>
      </c>
      <c r="I42" s="1438"/>
      <c r="J42" s="398">
        <v>73</v>
      </c>
      <c r="K42" s="398">
        <v>292</v>
      </c>
      <c r="L42" s="398">
        <v>20</v>
      </c>
      <c r="M42" s="1438">
        <v>100</v>
      </c>
      <c r="N42" s="1438"/>
      <c r="O42" s="398">
        <v>0</v>
      </c>
      <c r="P42" s="404">
        <v>150</v>
      </c>
      <c r="Q42" s="404">
        <v>70</v>
      </c>
      <c r="R42" s="403">
        <v>0</v>
      </c>
      <c r="S42" s="403">
        <f t="shared" si="2"/>
        <v>0</v>
      </c>
      <c r="T42" s="403">
        <v>0</v>
      </c>
      <c r="U42" s="403">
        <v>0</v>
      </c>
      <c r="V42" s="403">
        <v>0</v>
      </c>
      <c r="W42" s="403">
        <v>0</v>
      </c>
      <c r="X42" s="403">
        <f t="shared" si="0"/>
        <v>0</v>
      </c>
      <c r="Y42" s="491" t="s">
        <v>1061</v>
      </c>
    </row>
    <row r="43" spans="1:26" ht="23.25" customHeight="1">
      <c r="A43" s="398">
        <v>39</v>
      </c>
      <c r="B43" s="399" t="s">
        <v>455</v>
      </c>
      <c r="C43" s="400" t="s">
        <v>1141</v>
      </c>
      <c r="D43" s="1439" t="s">
        <v>1142</v>
      </c>
      <c r="E43" s="1439"/>
      <c r="F43" s="401" t="s">
        <v>1051</v>
      </c>
      <c r="G43" s="398">
        <v>397</v>
      </c>
      <c r="H43" s="1438">
        <v>0</v>
      </c>
      <c r="I43" s="1438"/>
      <c r="J43" s="398">
        <v>386</v>
      </c>
      <c r="K43" s="398">
        <v>1158</v>
      </c>
      <c r="L43" s="398">
        <v>0</v>
      </c>
      <c r="M43" s="1438">
        <v>0</v>
      </c>
      <c r="N43" s="1438"/>
      <c r="O43" s="398">
        <v>0</v>
      </c>
      <c r="P43" s="403">
        <v>0</v>
      </c>
      <c r="Q43" s="403">
        <v>0</v>
      </c>
      <c r="R43" s="403">
        <v>0</v>
      </c>
      <c r="S43" s="403">
        <f t="shared" si="2"/>
        <v>0</v>
      </c>
      <c r="T43" s="403">
        <v>0</v>
      </c>
      <c r="U43" s="403">
        <v>0</v>
      </c>
      <c r="V43" s="403">
        <v>0</v>
      </c>
      <c r="W43" s="403">
        <v>0</v>
      </c>
      <c r="X43" s="403">
        <f t="shared" si="0"/>
        <v>0</v>
      </c>
      <c r="Y43" s="491" t="s">
        <v>1157</v>
      </c>
      <c r="Z43" s="397" t="s">
        <v>1062</v>
      </c>
    </row>
  </sheetData>
  <sheetProtection/>
  <mergeCells count="138">
    <mergeCell ref="A1:Y1"/>
    <mergeCell ref="A2:Y2"/>
    <mergeCell ref="G3:G4"/>
    <mergeCell ref="A3:A4"/>
    <mergeCell ref="B3:B4"/>
    <mergeCell ref="C3:C4"/>
    <mergeCell ref="D3:E4"/>
    <mergeCell ref="Y3:Y4"/>
    <mergeCell ref="R3:R4"/>
    <mergeCell ref="S3:S4"/>
    <mergeCell ref="D6:E6"/>
    <mergeCell ref="H6:I6"/>
    <mergeCell ref="M6:N6"/>
    <mergeCell ref="P3:P4"/>
    <mergeCell ref="H3:I4"/>
    <mergeCell ref="J3:J4"/>
    <mergeCell ref="K3:K4"/>
    <mergeCell ref="L3:L4"/>
    <mergeCell ref="M3:N4"/>
    <mergeCell ref="O3:O4"/>
    <mergeCell ref="T3:W3"/>
    <mergeCell ref="X3:X4"/>
    <mergeCell ref="F3:F4"/>
    <mergeCell ref="D7:E7"/>
    <mergeCell ref="H7:I7"/>
    <mergeCell ref="M7:N7"/>
    <mergeCell ref="D5:E5"/>
    <mergeCell ref="H5:I5"/>
    <mergeCell ref="M5:N5"/>
    <mergeCell ref="Q3:Q4"/>
    <mergeCell ref="D8:E8"/>
    <mergeCell ref="H8:I8"/>
    <mergeCell ref="M8:N8"/>
    <mergeCell ref="D9:E9"/>
    <mergeCell ref="H9:I9"/>
    <mergeCell ref="M9:N9"/>
    <mergeCell ref="D10:E10"/>
    <mergeCell ref="H10:I10"/>
    <mergeCell ref="M10:N10"/>
    <mergeCell ref="D11:E11"/>
    <mergeCell ref="H11:I11"/>
    <mergeCell ref="M11:N11"/>
    <mergeCell ref="D12:E12"/>
    <mergeCell ref="H12:I12"/>
    <mergeCell ref="M12:N12"/>
    <mergeCell ref="D13:E13"/>
    <mergeCell ref="H13:I13"/>
    <mergeCell ref="M13:N13"/>
    <mergeCell ref="D14:E14"/>
    <mergeCell ref="H14:I14"/>
    <mergeCell ref="M14:N14"/>
    <mergeCell ref="D15:E15"/>
    <mergeCell ref="H15:I15"/>
    <mergeCell ref="M15:N15"/>
    <mergeCell ref="D16:E16"/>
    <mergeCell ref="H16:I16"/>
    <mergeCell ref="M16:N16"/>
    <mergeCell ref="D17:E17"/>
    <mergeCell ref="H17:I17"/>
    <mergeCell ref="M17:N17"/>
    <mergeCell ref="D18:E18"/>
    <mergeCell ref="H18:I18"/>
    <mergeCell ref="M18:N18"/>
    <mergeCell ref="D19:E19"/>
    <mergeCell ref="H19:I19"/>
    <mergeCell ref="M19:N19"/>
    <mergeCell ref="D20:E20"/>
    <mergeCell ref="H20:I20"/>
    <mergeCell ref="M20:N20"/>
    <mergeCell ref="D21:E21"/>
    <mergeCell ref="H21:I21"/>
    <mergeCell ref="M21:N21"/>
    <mergeCell ref="D22:E22"/>
    <mergeCell ref="H22:I22"/>
    <mergeCell ref="M22:N22"/>
    <mergeCell ref="D23:E23"/>
    <mergeCell ref="H23:I23"/>
    <mergeCell ref="M23:N23"/>
    <mergeCell ref="D24:E24"/>
    <mergeCell ref="H24:I24"/>
    <mergeCell ref="M24:N24"/>
    <mergeCell ref="D25:E25"/>
    <mergeCell ref="H25:I25"/>
    <mergeCell ref="M25:N25"/>
    <mergeCell ref="D26:E26"/>
    <mergeCell ref="H26:I26"/>
    <mergeCell ref="M26:N26"/>
    <mergeCell ref="D27:E27"/>
    <mergeCell ref="H27:I27"/>
    <mergeCell ref="M27:N27"/>
    <mergeCell ref="D28:E28"/>
    <mergeCell ref="H28:I28"/>
    <mergeCell ref="M28:N28"/>
    <mergeCell ref="D29:E29"/>
    <mergeCell ref="H29:I29"/>
    <mergeCell ref="M29:N29"/>
    <mergeCell ref="D30:E30"/>
    <mergeCell ref="H30:I30"/>
    <mergeCell ref="M30:N30"/>
    <mergeCell ref="D31:E31"/>
    <mergeCell ref="H31:I31"/>
    <mergeCell ref="M31:N31"/>
    <mergeCell ref="M34:N34"/>
    <mergeCell ref="D35:E35"/>
    <mergeCell ref="H35:I35"/>
    <mergeCell ref="M35:N35"/>
    <mergeCell ref="D32:E32"/>
    <mergeCell ref="H32:I32"/>
    <mergeCell ref="M32:N32"/>
    <mergeCell ref="D33:E33"/>
    <mergeCell ref="H33:I33"/>
    <mergeCell ref="M33:N33"/>
    <mergeCell ref="D36:E36"/>
    <mergeCell ref="H36:I36"/>
    <mergeCell ref="D38:E38"/>
    <mergeCell ref="H38:I38"/>
    <mergeCell ref="D34:E34"/>
    <mergeCell ref="H34:I34"/>
    <mergeCell ref="D43:E43"/>
    <mergeCell ref="H43:I43"/>
    <mergeCell ref="M43:N43"/>
    <mergeCell ref="D41:E41"/>
    <mergeCell ref="H41:I41"/>
    <mergeCell ref="M36:N36"/>
    <mergeCell ref="D37:E37"/>
    <mergeCell ref="H37:I37"/>
    <mergeCell ref="M37:N37"/>
    <mergeCell ref="D40:E40"/>
    <mergeCell ref="M41:N41"/>
    <mergeCell ref="D42:E42"/>
    <mergeCell ref="H42:I42"/>
    <mergeCell ref="M42:N42"/>
    <mergeCell ref="M38:N38"/>
    <mergeCell ref="D39:E39"/>
    <mergeCell ref="H39:I39"/>
    <mergeCell ref="M39:N39"/>
    <mergeCell ref="M40:N40"/>
    <mergeCell ref="H40:I40"/>
  </mergeCells>
  <printOptions horizontalCentered="1"/>
  <pageMargins left="0.31496062992125984" right="0.31496062992125984" top="0.7480314960629921" bottom="0.7480314960629921" header="0.31496062992125984" footer="0.31496062992125984"/>
  <pageSetup firstPageNumber="20" useFirstPageNumber="1" horizontalDpi="600" verticalDpi="600" orientation="landscape" paperSize="9" scale="7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CF279"/>
  <sheetViews>
    <sheetView zoomScalePageLayoutView="0" workbookViewId="0" topLeftCell="A1">
      <selection activeCell="E17" sqref="E17"/>
    </sheetView>
  </sheetViews>
  <sheetFormatPr defaultColWidth="8" defaultRowHeight="15"/>
  <cols>
    <col min="1" max="1" width="5.19921875" style="417" customWidth="1"/>
    <col min="2" max="2" width="15.5" style="411" customWidth="1"/>
    <col min="3" max="4" width="9.5" style="418" customWidth="1"/>
    <col min="5" max="5" width="9.5" style="419" customWidth="1"/>
    <col min="6" max="6" width="9.19921875" style="420" customWidth="1"/>
    <col min="7" max="9" width="9.5" style="420" customWidth="1"/>
    <col min="10" max="10" width="9.5" style="418" customWidth="1"/>
    <col min="11" max="82" width="8" style="411" customWidth="1"/>
    <col min="83" max="84" width="8" style="412" customWidth="1"/>
    <col min="85" max="16384" width="8" style="411" customWidth="1"/>
  </cols>
  <sheetData>
    <row r="1" spans="1:84" s="405" customFormat="1" ht="25.5" customHeight="1">
      <c r="A1" s="1450" t="s">
        <v>1144</v>
      </c>
      <c r="B1" s="1450"/>
      <c r="C1" s="1450"/>
      <c r="D1" s="1450"/>
      <c r="E1" s="1450"/>
      <c r="F1" s="1450"/>
      <c r="G1" s="1450"/>
      <c r="H1" s="1450"/>
      <c r="I1" s="1450"/>
      <c r="J1" s="1450"/>
      <c r="CE1" s="406"/>
      <c r="CF1" s="406"/>
    </row>
    <row r="2" spans="1:84" s="405" customFormat="1" ht="23.25" customHeight="1">
      <c r="A2" s="1454" t="e">
        <f>+#REF!</f>
        <v>#REF!</v>
      </c>
      <c r="B2" s="1454"/>
      <c r="C2" s="1454"/>
      <c r="D2" s="1454"/>
      <c r="E2" s="1454"/>
      <c r="F2" s="1454"/>
      <c r="G2" s="1454"/>
      <c r="H2" s="1454"/>
      <c r="I2" s="1454"/>
      <c r="J2" s="1454"/>
      <c r="CE2" s="406"/>
      <c r="CF2" s="406"/>
    </row>
    <row r="3" spans="1:84" s="409" customFormat="1" ht="35.25" customHeight="1">
      <c r="A3" s="1451" t="s">
        <v>922</v>
      </c>
      <c r="B3" s="1453" t="s">
        <v>229</v>
      </c>
      <c r="C3" s="1453" t="s">
        <v>230</v>
      </c>
      <c r="D3" s="1453"/>
      <c r="E3" s="1453"/>
      <c r="F3" s="1453" t="s">
        <v>231</v>
      </c>
      <c r="G3" s="1453"/>
      <c r="H3" s="1453"/>
      <c r="I3" s="1453" t="s">
        <v>232</v>
      </c>
      <c r="J3" s="1453"/>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8"/>
      <c r="CF3" s="408"/>
    </row>
    <row r="4" spans="1:84" s="409" customFormat="1" ht="54" customHeight="1">
      <c r="A4" s="1452"/>
      <c r="B4" s="1453"/>
      <c r="C4" s="351" t="s">
        <v>233</v>
      </c>
      <c r="D4" s="351" t="s">
        <v>234</v>
      </c>
      <c r="E4" s="352" t="s">
        <v>235</v>
      </c>
      <c r="F4" s="351" t="s">
        <v>236</v>
      </c>
      <c r="G4" s="351" t="s">
        <v>237</v>
      </c>
      <c r="H4" s="351" t="s">
        <v>238</v>
      </c>
      <c r="I4" s="351" t="s">
        <v>236</v>
      </c>
      <c r="J4" s="351" t="s">
        <v>238</v>
      </c>
      <c r="CE4" s="410"/>
      <c r="CF4" s="410"/>
    </row>
    <row r="5" spans="1:10" ht="12.75" customHeight="1">
      <c r="A5" s="353">
        <v>1</v>
      </c>
      <c r="B5" s="353">
        <v>2</v>
      </c>
      <c r="C5" s="354">
        <v>3</v>
      </c>
      <c r="D5" s="354">
        <v>3</v>
      </c>
      <c r="E5" s="355">
        <v>3</v>
      </c>
      <c r="F5" s="353">
        <v>4</v>
      </c>
      <c r="G5" s="353">
        <v>5</v>
      </c>
      <c r="H5" s="353">
        <v>6</v>
      </c>
      <c r="I5" s="353">
        <v>7</v>
      </c>
      <c r="J5" s="354">
        <v>8</v>
      </c>
    </row>
    <row r="6" spans="1:84" s="409" customFormat="1" ht="19.5" customHeight="1">
      <c r="A6" s="356" t="s">
        <v>486</v>
      </c>
      <c r="B6" s="357" t="s">
        <v>239</v>
      </c>
      <c r="C6" s="358">
        <v>136825</v>
      </c>
      <c r="D6" s="358">
        <v>118504</v>
      </c>
      <c r="E6" s="359">
        <v>0.866099031609721</v>
      </c>
      <c r="F6" s="358">
        <v>29764</v>
      </c>
      <c r="G6" s="358">
        <v>25037</v>
      </c>
      <c r="H6" s="358">
        <v>111223</v>
      </c>
      <c r="I6" s="358">
        <v>1947</v>
      </c>
      <c r="J6" s="358">
        <v>6887</v>
      </c>
      <c r="CE6" s="410"/>
      <c r="CF6" s="410"/>
    </row>
    <row r="7" spans="1:10" ht="12.75">
      <c r="A7" s="360">
        <v>1</v>
      </c>
      <c r="B7" s="348" t="s">
        <v>240</v>
      </c>
      <c r="C7" s="349">
        <v>5776</v>
      </c>
      <c r="D7" s="349">
        <v>5583</v>
      </c>
      <c r="E7" s="350">
        <v>0.967</v>
      </c>
      <c r="F7" s="361">
        <v>915</v>
      </c>
      <c r="G7" s="361">
        <v>830</v>
      </c>
      <c r="H7" s="361">
        <v>2888</v>
      </c>
      <c r="I7" s="361">
        <v>813</v>
      </c>
      <c r="J7" s="349">
        <v>2695</v>
      </c>
    </row>
    <row r="8" spans="1:10" ht="12.75">
      <c r="A8" s="360">
        <v>2</v>
      </c>
      <c r="B8" s="348" t="s">
        <v>241</v>
      </c>
      <c r="C8" s="349">
        <v>4426</v>
      </c>
      <c r="D8" s="349">
        <v>3571</v>
      </c>
      <c r="E8" s="350">
        <v>0.807</v>
      </c>
      <c r="F8" s="349">
        <v>1076</v>
      </c>
      <c r="G8" s="349">
        <v>868</v>
      </c>
      <c r="H8" s="349">
        <v>3568</v>
      </c>
      <c r="I8" s="349">
        <v>0</v>
      </c>
      <c r="J8" s="349">
        <v>0</v>
      </c>
    </row>
    <row r="9" spans="1:10" ht="12.75">
      <c r="A9" s="360">
        <v>3</v>
      </c>
      <c r="B9" s="348" t="s">
        <v>242</v>
      </c>
      <c r="C9" s="349">
        <v>3087</v>
      </c>
      <c r="D9" s="349">
        <v>2962</v>
      </c>
      <c r="E9" s="350">
        <v>0.96</v>
      </c>
      <c r="F9" s="361">
        <v>737</v>
      </c>
      <c r="G9" s="361">
        <v>514</v>
      </c>
      <c r="H9" s="361">
        <v>1935</v>
      </c>
      <c r="I9" s="361">
        <v>265</v>
      </c>
      <c r="J9" s="349">
        <v>1027</v>
      </c>
    </row>
    <row r="10" spans="1:10" ht="12.75">
      <c r="A10" s="360">
        <v>4</v>
      </c>
      <c r="B10" s="348" t="s">
        <v>243</v>
      </c>
      <c r="C10" s="349">
        <v>3011</v>
      </c>
      <c r="D10" s="349">
        <v>2351</v>
      </c>
      <c r="E10" s="350">
        <v>0.781</v>
      </c>
      <c r="F10" s="361">
        <v>691</v>
      </c>
      <c r="G10" s="361">
        <v>550</v>
      </c>
      <c r="H10" s="361">
        <v>2351</v>
      </c>
      <c r="I10" s="361">
        <v>0</v>
      </c>
      <c r="J10" s="349">
        <v>0</v>
      </c>
    </row>
    <row r="11" spans="1:10" ht="12.75">
      <c r="A11" s="360">
        <v>5</v>
      </c>
      <c r="B11" s="348" t="s">
        <v>244</v>
      </c>
      <c r="C11" s="349">
        <v>4315</v>
      </c>
      <c r="D11" s="349">
        <v>3884</v>
      </c>
      <c r="E11" s="350">
        <v>0.9</v>
      </c>
      <c r="F11" s="361">
        <v>1017</v>
      </c>
      <c r="G11" s="361">
        <v>912</v>
      </c>
      <c r="H11" s="361">
        <v>3884</v>
      </c>
      <c r="I11" s="361">
        <v>0</v>
      </c>
      <c r="J11" s="349">
        <v>0</v>
      </c>
    </row>
    <row r="12" spans="1:10" ht="12.75">
      <c r="A12" s="360">
        <v>6</v>
      </c>
      <c r="B12" s="348" t="s">
        <v>245</v>
      </c>
      <c r="C12" s="349">
        <v>2850</v>
      </c>
      <c r="D12" s="349">
        <v>2733</v>
      </c>
      <c r="E12" s="350">
        <v>0.959</v>
      </c>
      <c r="F12" s="361">
        <v>626</v>
      </c>
      <c r="G12" s="361">
        <v>590</v>
      </c>
      <c r="H12" s="361">
        <v>2733</v>
      </c>
      <c r="I12" s="361">
        <v>6</v>
      </c>
      <c r="J12" s="349">
        <v>0</v>
      </c>
    </row>
    <row r="13" spans="1:10" ht="12.75">
      <c r="A13" s="360">
        <v>7</v>
      </c>
      <c r="B13" s="348" t="s">
        <v>246</v>
      </c>
      <c r="C13" s="349">
        <v>5223</v>
      </c>
      <c r="D13" s="349">
        <v>4527</v>
      </c>
      <c r="E13" s="350">
        <v>0.867</v>
      </c>
      <c r="F13" s="349">
        <v>1157</v>
      </c>
      <c r="G13" s="349">
        <v>1072</v>
      </c>
      <c r="H13" s="349">
        <v>4872</v>
      </c>
      <c r="I13" s="349">
        <v>0</v>
      </c>
      <c r="J13" s="349">
        <v>0</v>
      </c>
    </row>
    <row r="14" spans="1:10" ht="12.75">
      <c r="A14" s="360">
        <v>8</v>
      </c>
      <c r="B14" s="348" t="s">
        <v>247</v>
      </c>
      <c r="C14" s="349">
        <v>1639</v>
      </c>
      <c r="D14" s="349">
        <v>1307</v>
      </c>
      <c r="E14" s="350">
        <v>0.797</v>
      </c>
      <c r="F14" s="361">
        <v>338</v>
      </c>
      <c r="G14" s="361">
        <v>242</v>
      </c>
      <c r="H14" s="361">
        <v>814</v>
      </c>
      <c r="I14" s="361">
        <v>137</v>
      </c>
      <c r="J14" s="349">
        <v>493</v>
      </c>
    </row>
    <row r="15" spans="1:10" ht="12.75">
      <c r="A15" s="360">
        <v>9</v>
      </c>
      <c r="B15" s="348" t="s">
        <v>1002</v>
      </c>
      <c r="C15" s="349">
        <v>5528</v>
      </c>
      <c r="D15" s="349">
        <v>5194</v>
      </c>
      <c r="E15" s="350">
        <v>0.94</v>
      </c>
      <c r="F15" s="361">
        <v>1217</v>
      </c>
      <c r="G15" s="361">
        <v>1139</v>
      </c>
      <c r="H15" s="361">
        <v>5194</v>
      </c>
      <c r="I15" s="361">
        <v>12</v>
      </c>
      <c r="J15" s="349">
        <v>0</v>
      </c>
    </row>
    <row r="16" spans="1:10" ht="12.75">
      <c r="A16" s="360">
        <v>10</v>
      </c>
      <c r="B16" s="348" t="s">
        <v>248</v>
      </c>
      <c r="C16" s="349">
        <v>6654</v>
      </c>
      <c r="D16" s="349">
        <v>6149</v>
      </c>
      <c r="E16" s="350">
        <v>0.924</v>
      </c>
      <c r="F16" s="361">
        <v>1184</v>
      </c>
      <c r="G16" s="361">
        <v>1052</v>
      </c>
      <c r="H16" s="361">
        <v>5524</v>
      </c>
      <c r="I16" s="361">
        <v>83</v>
      </c>
      <c r="J16" s="349">
        <v>250</v>
      </c>
    </row>
    <row r="17" spans="1:10" ht="12.75">
      <c r="A17" s="360">
        <v>11</v>
      </c>
      <c r="B17" s="348" t="s">
        <v>249</v>
      </c>
      <c r="C17" s="349">
        <v>3258</v>
      </c>
      <c r="D17" s="349">
        <v>3052</v>
      </c>
      <c r="E17" s="350">
        <v>0.937</v>
      </c>
      <c r="F17" s="361">
        <v>742</v>
      </c>
      <c r="G17" s="361">
        <v>678</v>
      </c>
      <c r="H17" s="361">
        <v>3052</v>
      </c>
      <c r="I17" s="361">
        <v>0</v>
      </c>
      <c r="J17" s="349">
        <v>0</v>
      </c>
    </row>
    <row r="18" spans="1:10" ht="12.75">
      <c r="A18" s="360">
        <v>12</v>
      </c>
      <c r="B18" s="348" t="s">
        <v>250</v>
      </c>
      <c r="C18" s="349">
        <v>3781</v>
      </c>
      <c r="D18" s="349">
        <v>3625</v>
      </c>
      <c r="E18" s="350">
        <v>0.959</v>
      </c>
      <c r="F18" s="361">
        <v>812</v>
      </c>
      <c r="G18" s="361">
        <v>704</v>
      </c>
      <c r="H18" s="361">
        <v>3246</v>
      </c>
      <c r="I18" s="361">
        <v>104</v>
      </c>
      <c r="J18" s="349">
        <v>379</v>
      </c>
    </row>
    <row r="19" spans="1:10" ht="12.75">
      <c r="A19" s="360">
        <v>13</v>
      </c>
      <c r="B19" s="348" t="s">
        <v>251</v>
      </c>
      <c r="C19" s="349">
        <v>3992</v>
      </c>
      <c r="D19" s="349">
        <v>3708</v>
      </c>
      <c r="E19" s="350">
        <v>0.929</v>
      </c>
      <c r="F19" s="361">
        <v>776</v>
      </c>
      <c r="G19" s="361">
        <v>721</v>
      </c>
      <c r="H19" s="361">
        <v>3708</v>
      </c>
      <c r="I19" s="361">
        <v>0</v>
      </c>
      <c r="J19" s="349">
        <v>0</v>
      </c>
    </row>
    <row r="20" spans="1:10" ht="12.75">
      <c r="A20" s="360">
        <v>14</v>
      </c>
      <c r="B20" s="348" t="s">
        <v>252</v>
      </c>
      <c r="C20" s="349">
        <v>8120</v>
      </c>
      <c r="D20" s="349">
        <v>6495</v>
      </c>
      <c r="E20" s="350">
        <v>0.8</v>
      </c>
      <c r="F20" s="361">
        <v>1525</v>
      </c>
      <c r="G20" s="361">
        <v>1145</v>
      </c>
      <c r="H20" s="361">
        <v>6137</v>
      </c>
      <c r="I20" s="361">
        <v>0</v>
      </c>
      <c r="J20" s="349">
        <v>0</v>
      </c>
    </row>
    <row r="21" spans="1:10" ht="12.75">
      <c r="A21" s="360">
        <v>15</v>
      </c>
      <c r="B21" s="348" t="s">
        <v>1003</v>
      </c>
      <c r="C21" s="349">
        <v>3798</v>
      </c>
      <c r="D21" s="349">
        <v>3625</v>
      </c>
      <c r="E21" s="350">
        <v>0.954</v>
      </c>
      <c r="F21" s="361">
        <v>885</v>
      </c>
      <c r="G21" s="361">
        <v>856</v>
      </c>
      <c r="H21" s="361">
        <v>3078</v>
      </c>
      <c r="I21" s="361">
        <v>160</v>
      </c>
      <c r="J21" s="349">
        <v>547</v>
      </c>
    </row>
    <row r="22" spans="1:10" ht="12.75">
      <c r="A22" s="360">
        <v>16</v>
      </c>
      <c r="B22" s="348" t="s">
        <v>1004</v>
      </c>
      <c r="C22" s="349">
        <v>4064</v>
      </c>
      <c r="D22" s="349">
        <v>3977</v>
      </c>
      <c r="E22" s="350">
        <v>0.979</v>
      </c>
      <c r="F22" s="361">
        <v>1096</v>
      </c>
      <c r="G22" s="361">
        <v>1059</v>
      </c>
      <c r="H22" s="361">
        <v>3977</v>
      </c>
      <c r="I22" s="361">
        <v>6</v>
      </c>
      <c r="J22" s="349">
        <v>0</v>
      </c>
    </row>
    <row r="23" spans="1:10" ht="12.75">
      <c r="A23" s="360">
        <v>17</v>
      </c>
      <c r="B23" s="348" t="s">
        <v>253</v>
      </c>
      <c r="C23" s="349">
        <v>1841</v>
      </c>
      <c r="D23" s="349">
        <v>1609</v>
      </c>
      <c r="E23" s="350">
        <v>0.874</v>
      </c>
      <c r="F23" s="361">
        <v>495</v>
      </c>
      <c r="G23" s="361">
        <v>414</v>
      </c>
      <c r="H23" s="361">
        <v>1609</v>
      </c>
      <c r="I23" s="361">
        <v>0</v>
      </c>
      <c r="J23" s="349">
        <v>0</v>
      </c>
    </row>
    <row r="24" spans="1:10" ht="12.75">
      <c r="A24" s="360">
        <v>18</v>
      </c>
      <c r="B24" s="348" t="s">
        <v>254</v>
      </c>
      <c r="C24" s="349">
        <v>4993</v>
      </c>
      <c r="D24" s="349">
        <v>4388</v>
      </c>
      <c r="E24" s="350">
        <v>0.879</v>
      </c>
      <c r="F24" s="361">
        <v>1054</v>
      </c>
      <c r="G24" s="361">
        <v>901</v>
      </c>
      <c r="H24" s="361">
        <v>4387</v>
      </c>
      <c r="I24" s="361">
        <v>1</v>
      </c>
      <c r="J24" s="349">
        <v>1</v>
      </c>
    </row>
    <row r="25" spans="1:10" ht="12.75">
      <c r="A25" s="360">
        <v>19</v>
      </c>
      <c r="B25" s="348" t="s">
        <v>255</v>
      </c>
      <c r="C25" s="349">
        <v>7495</v>
      </c>
      <c r="D25" s="349">
        <v>6595</v>
      </c>
      <c r="E25" s="350">
        <v>0.88</v>
      </c>
      <c r="F25" s="361">
        <v>1346</v>
      </c>
      <c r="G25" s="361">
        <v>1186</v>
      </c>
      <c r="H25" s="361">
        <v>6595</v>
      </c>
      <c r="I25" s="361">
        <v>6</v>
      </c>
      <c r="J25" s="349">
        <v>0</v>
      </c>
    </row>
    <row r="26" spans="1:10" ht="12.75">
      <c r="A26" s="360">
        <v>20</v>
      </c>
      <c r="B26" s="348" t="s">
        <v>256</v>
      </c>
      <c r="C26" s="349">
        <v>4397</v>
      </c>
      <c r="D26" s="349">
        <v>4266</v>
      </c>
      <c r="E26" s="350">
        <v>0.97</v>
      </c>
      <c r="F26" s="361">
        <v>1122</v>
      </c>
      <c r="G26" s="361">
        <v>1069</v>
      </c>
      <c r="H26" s="361">
        <v>4266</v>
      </c>
      <c r="I26" s="361">
        <v>0</v>
      </c>
      <c r="J26" s="349">
        <v>0</v>
      </c>
    </row>
    <row r="27" spans="1:10" ht="12.75">
      <c r="A27" s="360">
        <v>21</v>
      </c>
      <c r="B27" s="348" t="s">
        <v>1005</v>
      </c>
      <c r="C27" s="349">
        <v>2310</v>
      </c>
      <c r="D27" s="349">
        <v>2260</v>
      </c>
      <c r="E27" s="350">
        <v>0.978</v>
      </c>
      <c r="F27" s="361">
        <v>598</v>
      </c>
      <c r="G27" s="361">
        <v>587</v>
      </c>
      <c r="H27" s="361">
        <v>2260</v>
      </c>
      <c r="I27" s="361">
        <v>0</v>
      </c>
      <c r="J27" s="349">
        <v>0</v>
      </c>
    </row>
    <row r="28" spans="1:10" ht="12.75">
      <c r="A28" s="360">
        <v>22</v>
      </c>
      <c r="B28" s="348" t="s">
        <v>257</v>
      </c>
      <c r="C28" s="349">
        <v>3423</v>
      </c>
      <c r="D28" s="349">
        <v>2993</v>
      </c>
      <c r="E28" s="350">
        <v>0.874</v>
      </c>
      <c r="F28" s="361">
        <v>890</v>
      </c>
      <c r="G28" s="361">
        <v>719</v>
      </c>
      <c r="H28" s="361">
        <v>2993</v>
      </c>
      <c r="I28" s="361">
        <v>0</v>
      </c>
      <c r="J28" s="349">
        <v>0</v>
      </c>
    </row>
    <row r="29" spans="1:10" ht="12.75">
      <c r="A29" s="360">
        <v>23</v>
      </c>
      <c r="B29" s="348" t="s">
        <v>258</v>
      </c>
      <c r="C29" s="349">
        <v>5736</v>
      </c>
      <c r="D29" s="349">
        <v>3859</v>
      </c>
      <c r="E29" s="350">
        <v>0.673</v>
      </c>
      <c r="F29" s="361">
        <v>1291</v>
      </c>
      <c r="G29" s="361">
        <v>838</v>
      </c>
      <c r="H29" s="361">
        <v>3705</v>
      </c>
      <c r="I29" s="361">
        <v>33</v>
      </c>
      <c r="J29" s="349">
        <v>154</v>
      </c>
    </row>
    <row r="30" spans="1:10" ht="12.75">
      <c r="A30" s="360">
        <v>24</v>
      </c>
      <c r="B30" s="348" t="s">
        <v>259</v>
      </c>
      <c r="C30" s="349">
        <v>3035</v>
      </c>
      <c r="D30" s="349">
        <v>2932</v>
      </c>
      <c r="E30" s="350">
        <v>0.966</v>
      </c>
      <c r="F30" s="361">
        <v>676</v>
      </c>
      <c r="G30" s="361">
        <v>537</v>
      </c>
      <c r="H30" s="361">
        <v>2276</v>
      </c>
      <c r="I30" s="361">
        <v>166</v>
      </c>
      <c r="J30" s="349">
        <v>653</v>
      </c>
    </row>
    <row r="31" spans="1:10" ht="12.75">
      <c r="A31" s="360">
        <v>25</v>
      </c>
      <c r="B31" s="348" t="s">
        <v>260</v>
      </c>
      <c r="C31" s="349">
        <v>3394</v>
      </c>
      <c r="D31" s="349">
        <v>2733</v>
      </c>
      <c r="E31" s="350">
        <v>0.805</v>
      </c>
      <c r="F31" s="361">
        <v>781</v>
      </c>
      <c r="G31" s="361">
        <v>638</v>
      </c>
      <c r="H31" s="361">
        <v>2733</v>
      </c>
      <c r="I31" s="361">
        <v>0</v>
      </c>
      <c r="J31" s="349">
        <v>0</v>
      </c>
    </row>
    <row r="32" spans="1:10" ht="12.75">
      <c r="A32" s="360">
        <v>26</v>
      </c>
      <c r="B32" s="348" t="s">
        <v>261</v>
      </c>
      <c r="C32" s="349">
        <v>7915</v>
      </c>
      <c r="D32" s="349">
        <v>6189</v>
      </c>
      <c r="E32" s="350">
        <v>0.782</v>
      </c>
      <c r="F32" s="361">
        <v>1935</v>
      </c>
      <c r="G32" s="361">
        <v>1488</v>
      </c>
      <c r="H32" s="361">
        <v>6189</v>
      </c>
      <c r="I32" s="361">
        <v>0</v>
      </c>
      <c r="J32" s="349">
        <v>0</v>
      </c>
    </row>
    <row r="33" spans="1:10" ht="12.75">
      <c r="A33" s="360">
        <v>27</v>
      </c>
      <c r="B33" s="348" t="s">
        <v>262</v>
      </c>
      <c r="C33" s="349">
        <v>6174</v>
      </c>
      <c r="D33" s="349">
        <v>4779</v>
      </c>
      <c r="E33" s="350">
        <v>0.774</v>
      </c>
      <c r="F33" s="361">
        <v>1235</v>
      </c>
      <c r="G33" s="361">
        <v>912</v>
      </c>
      <c r="H33" s="361">
        <v>4779</v>
      </c>
      <c r="I33" s="361">
        <v>0</v>
      </c>
      <c r="J33" s="349">
        <v>0</v>
      </c>
    </row>
    <row r="34" spans="1:10" ht="12.75">
      <c r="A34" s="360">
        <v>28</v>
      </c>
      <c r="B34" s="348" t="s">
        <v>263</v>
      </c>
      <c r="C34" s="349">
        <v>4880</v>
      </c>
      <c r="D34" s="349">
        <v>3555</v>
      </c>
      <c r="E34" s="350">
        <v>0.728</v>
      </c>
      <c r="F34" s="361">
        <v>1091</v>
      </c>
      <c r="G34" s="361">
        <v>871</v>
      </c>
      <c r="H34" s="361">
        <v>3555</v>
      </c>
      <c r="I34" s="361">
        <v>0</v>
      </c>
      <c r="J34" s="349">
        <v>0</v>
      </c>
    </row>
    <row r="35" spans="1:10" ht="12.75">
      <c r="A35" s="360">
        <v>29</v>
      </c>
      <c r="B35" s="348" t="s">
        <v>264</v>
      </c>
      <c r="C35" s="349">
        <v>3318</v>
      </c>
      <c r="D35" s="349">
        <v>2762</v>
      </c>
      <c r="E35" s="350">
        <v>0.832</v>
      </c>
      <c r="F35" s="361">
        <v>745</v>
      </c>
      <c r="G35" s="361">
        <v>642</v>
      </c>
      <c r="H35" s="361">
        <v>2762</v>
      </c>
      <c r="I35" s="361">
        <v>0</v>
      </c>
      <c r="J35" s="349">
        <v>0</v>
      </c>
    </row>
    <row r="36" spans="1:10" ht="12.75">
      <c r="A36" s="360">
        <v>30</v>
      </c>
      <c r="B36" s="348" t="s">
        <v>265</v>
      </c>
      <c r="C36" s="349">
        <v>3888</v>
      </c>
      <c r="D36" s="349">
        <v>3078</v>
      </c>
      <c r="E36" s="350">
        <v>0.792</v>
      </c>
      <c r="F36" s="361">
        <v>862</v>
      </c>
      <c r="G36" s="361">
        <v>721</v>
      </c>
      <c r="H36" s="361">
        <v>3066</v>
      </c>
      <c r="I36" s="361">
        <v>3</v>
      </c>
      <c r="J36" s="349">
        <v>12</v>
      </c>
    </row>
    <row r="37" spans="1:10" ht="12.75">
      <c r="A37" s="360">
        <v>31</v>
      </c>
      <c r="B37" s="348" t="s">
        <v>266</v>
      </c>
      <c r="C37" s="349">
        <v>4504</v>
      </c>
      <c r="D37" s="349">
        <v>3763</v>
      </c>
      <c r="E37" s="350">
        <v>0.835</v>
      </c>
      <c r="F37" s="361">
        <v>849</v>
      </c>
      <c r="G37" s="361">
        <v>582</v>
      </c>
      <c r="H37" s="361">
        <v>3087</v>
      </c>
      <c r="I37" s="361">
        <v>152</v>
      </c>
      <c r="J37" s="349">
        <v>676</v>
      </c>
    </row>
    <row r="38" spans="1:84" s="409" customFormat="1" ht="19.5" customHeight="1">
      <c r="A38" s="362" t="s">
        <v>484</v>
      </c>
      <c r="B38" s="363" t="s">
        <v>267</v>
      </c>
      <c r="C38" s="358">
        <v>107356</v>
      </c>
      <c r="D38" s="358">
        <v>88404</v>
      </c>
      <c r="E38" s="359">
        <v>0.8234658519318901</v>
      </c>
      <c r="F38" s="358">
        <v>26220</v>
      </c>
      <c r="G38" s="358">
        <v>21309</v>
      </c>
      <c r="H38" s="358">
        <v>82939</v>
      </c>
      <c r="I38" s="358">
        <v>1645</v>
      </c>
      <c r="J38" s="358">
        <v>5444</v>
      </c>
      <c r="CE38" s="410"/>
      <c r="CF38" s="410"/>
    </row>
    <row r="39" spans="1:10" ht="12.75">
      <c r="A39" s="360">
        <v>1</v>
      </c>
      <c r="B39" s="348" t="s">
        <v>268</v>
      </c>
      <c r="C39" s="349">
        <v>6231</v>
      </c>
      <c r="D39" s="349">
        <v>6033</v>
      </c>
      <c r="E39" s="350">
        <v>0.968</v>
      </c>
      <c r="F39" s="361">
        <v>619</v>
      </c>
      <c r="G39" s="361">
        <v>571</v>
      </c>
      <c r="H39" s="361">
        <v>2101</v>
      </c>
      <c r="I39" s="361">
        <v>1147</v>
      </c>
      <c r="J39" s="349">
        <v>3932</v>
      </c>
    </row>
    <row r="40" spans="1:10" ht="12.75">
      <c r="A40" s="360">
        <v>2</v>
      </c>
      <c r="B40" s="348" t="s">
        <v>269</v>
      </c>
      <c r="C40" s="349">
        <v>3206</v>
      </c>
      <c r="D40" s="349">
        <v>2407</v>
      </c>
      <c r="E40" s="350">
        <v>0.751</v>
      </c>
      <c r="F40" s="349">
        <v>845</v>
      </c>
      <c r="G40" s="349">
        <v>633</v>
      </c>
      <c r="H40" s="349">
        <v>2403</v>
      </c>
      <c r="I40" s="349">
        <v>0</v>
      </c>
      <c r="J40" s="349">
        <v>0</v>
      </c>
    </row>
    <row r="41" spans="1:10" ht="12.75">
      <c r="A41" s="360">
        <v>3</v>
      </c>
      <c r="B41" s="348" t="s">
        <v>270</v>
      </c>
      <c r="C41" s="349">
        <v>5085</v>
      </c>
      <c r="D41" s="349">
        <v>4490</v>
      </c>
      <c r="E41" s="350">
        <v>0.883</v>
      </c>
      <c r="F41" s="349">
        <v>1213</v>
      </c>
      <c r="G41" s="349">
        <v>1163</v>
      </c>
      <c r="H41" s="349">
        <v>4479</v>
      </c>
      <c r="I41" s="349">
        <v>0</v>
      </c>
      <c r="J41" s="349">
        <v>11</v>
      </c>
    </row>
    <row r="42" spans="1:10" ht="12.75">
      <c r="A42" s="360">
        <v>4</v>
      </c>
      <c r="B42" s="348" t="s">
        <v>271</v>
      </c>
      <c r="C42" s="349">
        <v>2986</v>
      </c>
      <c r="D42" s="349">
        <v>2725</v>
      </c>
      <c r="E42" s="350">
        <v>0.913</v>
      </c>
      <c r="F42" s="361">
        <v>791</v>
      </c>
      <c r="G42" s="361">
        <v>721</v>
      </c>
      <c r="H42" s="361">
        <v>2725</v>
      </c>
      <c r="I42" s="361">
        <v>0</v>
      </c>
      <c r="J42" s="349">
        <v>0</v>
      </c>
    </row>
    <row r="43" spans="1:10" ht="12.75">
      <c r="A43" s="360">
        <v>5</v>
      </c>
      <c r="B43" s="348" t="s">
        <v>272</v>
      </c>
      <c r="C43" s="349">
        <v>3293</v>
      </c>
      <c r="D43" s="349">
        <v>2703</v>
      </c>
      <c r="E43" s="350">
        <v>0.821</v>
      </c>
      <c r="F43" s="361">
        <v>891</v>
      </c>
      <c r="G43" s="361">
        <v>726</v>
      </c>
      <c r="H43" s="361">
        <v>2703</v>
      </c>
      <c r="I43" s="361">
        <v>0</v>
      </c>
      <c r="J43" s="349">
        <v>0</v>
      </c>
    </row>
    <row r="44" spans="1:10" ht="12.75">
      <c r="A44" s="360">
        <v>6</v>
      </c>
      <c r="B44" s="348" t="s">
        <v>273</v>
      </c>
      <c r="C44" s="349">
        <v>7339</v>
      </c>
      <c r="D44" s="349">
        <v>6729</v>
      </c>
      <c r="E44" s="350">
        <v>0.917</v>
      </c>
      <c r="F44" s="349">
        <v>1803</v>
      </c>
      <c r="G44" s="349">
        <v>1429</v>
      </c>
      <c r="H44" s="349">
        <v>6643</v>
      </c>
      <c r="I44" s="349">
        <v>20</v>
      </c>
      <c r="J44" s="349">
        <v>80</v>
      </c>
    </row>
    <row r="45" spans="1:10" ht="12.75">
      <c r="A45" s="360">
        <v>7</v>
      </c>
      <c r="B45" s="348" t="s">
        <v>274</v>
      </c>
      <c r="C45" s="349">
        <v>3227</v>
      </c>
      <c r="D45" s="349">
        <v>2687</v>
      </c>
      <c r="E45" s="350">
        <v>0.833</v>
      </c>
      <c r="F45" s="361">
        <v>831</v>
      </c>
      <c r="G45" s="361">
        <v>732</v>
      </c>
      <c r="H45" s="361">
        <v>2687</v>
      </c>
      <c r="I45" s="361">
        <v>0</v>
      </c>
      <c r="J45" s="349">
        <v>0</v>
      </c>
    </row>
    <row r="46" spans="1:10" ht="12.75">
      <c r="A46" s="360">
        <v>8</v>
      </c>
      <c r="B46" s="348" t="s">
        <v>275</v>
      </c>
      <c r="C46" s="349">
        <v>1935</v>
      </c>
      <c r="D46" s="349">
        <v>1596</v>
      </c>
      <c r="E46" s="350">
        <v>0.825</v>
      </c>
      <c r="F46" s="361">
        <v>481</v>
      </c>
      <c r="G46" s="361">
        <v>387</v>
      </c>
      <c r="H46" s="361">
        <v>1596</v>
      </c>
      <c r="I46" s="361">
        <v>0</v>
      </c>
      <c r="J46" s="349">
        <v>0</v>
      </c>
    </row>
    <row r="47" spans="1:10" ht="12.75">
      <c r="A47" s="360">
        <v>9</v>
      </c>
      <c r="B47" s="348" t="s">
        <v>276</v>
      </c>
      <c r="C47" s="349">
        <v>2826</v>
      </c>
      <c r="D47" s="349">
        <v>2201</v>
      </c>
      <c r="E47" s="350">
        <v>0.779</v>
      </c>
      <c r="F47" s="361">
        <v>679</v>
      </c>
      <c r="G47" s="361">
        <v>533</v>
      </c>
      <c r="H47" s="361">
        <v>2066</v>
      </c>
      <c r="I47" s="361">
        <v>36</v>
      </c>
      <c r="J47" s="349">
        <v>135</v>
      </c>
    </row>
    <row r="48" spans="1:10" ht="12.75">
      <c r="A48" s="360">
        <v>10</v>
      </c>
      <c r="B48" s="348" t="s">
        <v>277</v>
      </c>
      <c r="C48" s="349">
        <v>4144</v>
      </c>
      <c r="D48" s="349">
        <v>3280</v>
      </c>
      <c r="E48" s="350">
        <v>0.792</v>
      </c>
      <c r="F48" s="361">
        <v>972</v>
      </c>
      <c r="G48" s="361">
        <v>718</v>
      </c>
      <c r="H48" s="361">
        <v>2902</v>
      </c>
      <c r="I48" s="361">
        <v>96</v>
      </c>
      <c r="J48" s="349">
        <v>378</v>
      </c>
    </row>
    <row r="49" spans="1:10" ht="12.75">
      <c r="A49" s="360">
        <v>11</v>
      </c>
      <c r="B49" s="348" t="s">
        <v>278</v>
      </c>
      <c r="C49" s="349">
        <v>2764</v>
      </c>
      <c r="D49" s="349">
        <v>2084</v>
      </c>
      <c r="E49" s="350">
        <v>0.754</v>
      </c>
      <c r="F49" s="361">
        <v>658</v>
      </c>
      <c r="G49" s="361">
        <v>490</v>
      </c>
      <c r="H49" s="361">
        <v>2084</v>
      </c>
      <c r="I49" s="361">
        <v>0</v>
      </c>
      <c r="J49" s="349">
        <v>0</v>
      </c>
    </row>
    <row r="50" spans="1:10" ht="12.75">
      <c r="A50" s="360">
        <v>12</v>
      </c>
      <c r="B50" s="348" t="s">
        <v>279</v>
      </c>
      <c r="C50" s="349">
        <v>2634</v>
      </c>
      <c r="D50" s="349">
        <v>1977</v>
      </c>
      <c r="E50" s="350">
        <v>0.751</v>
      </c>
      <c r="F50" s="361">
        <v>713</v>
      </c>
      <c r="G50" s="361">
        <v>531</v>
      </c>
      <c r="H50" s="361">
        <v>1977</v>
      </c>
      <c r="I50" s="361">
        <v>0</v>
      </c>
      <c r="J50" s="349">
        <v>0</v>
      </c>
    </row>
    <row r="51" spans="1:10" ht="12.75">
      <c r="A51" s="360">
        <v>13</v>
      </c>
      <c r="B51" s="348" t="s">
        <v>280</v>
      </c>
      <c r="C51" s="349">
        <v>4462</v>
      </c>
      <c r="D51" s="349">
        <v>3594</v>
      </c>
      <c r="E51" s="350">
        <v>0.805</v>
      </c>
      <c r="F51" s="361">
        <v>1190</v>
      </c>
      <c r="G51" s="361">
        <v>989</v>
      </c>
      <c r="H51" s="361">
        <v>3594</v>
      </c>
      <c r="I51" s="361">
        <v>0</v>
      </c>
      <c r="J51" s="349">
        <v>0</v>
      </c>
    </row>
    <row r="52" spans="1:10" ht="12.75">
      <c r="A52" s="360">
        <v>14</v>
      </c>
      <c r="B52" s="348" t="s">
        <v>282</v>
      </c>
      <c r="C52" s="349">
        <v>2643</v>
      </c>
      <c r="D52" s="349">
        <v>2430</v>
      </c>
      <c r="E52" s="350">
        <v>0.919</v>
      </c>
      <c r="F52" s="361">
        <v>685</v>
      </c>
      <c r="G52" s="361">
        <v>641</v>
      </c>
      <c r="H52" s="361">
        <v>2430</v>
      </c>
      <c r="I52" s="361">
        <v>0</v>
      </c>
      <c r="J52" s="349">
        <v>0</v>
      </c>
    </row>
    <row r="53" spans="1:10" ht="12.75">
      <c r="A53" s="360">
        <v>15</v>
      </c>
      <c r="B53" s="348" t="s">
        <v>283</v>
      </c>
      <c r="C53" s="349">
        <v>4087</v>
      </c>
      <c r="D53" s="349">
        <v>3342</v>
      </c>
      <c r="E53" s="350">
        <v>0.818</v>
      </c>
      <c r="F53" s="361">
        <v>898</v>
      </c>
      <c r="G53" s="361">
        <v>716</v>
      </c>
      <c r="H53" s="361">
        <v>3342</v>
      </c>
      <c r="I53" s="361">
        <v>0</v>
      </c>
      <c r="J53" s="349">
        <v>0</v>
      </c>
    </row>
    <row r="54" spans="1:10" ht="12.75">
      <c r="A54" s="360">
        <v>16</v>
      </c>
      <c r="B54" s="348" t="s">
        <v>286</v>
      </c>
      <c r="C54" s="349">
        <v>6127</v>
      </c>
      <c r="D54" s="349">
        <v>4788</v>
      </c>
      <c r="E54" s="350">
        <v>0.781</v>
      </c>
      <c r="F54" s="361">
        <v>1601</v>
      </c>
      <c r="G54" s="361">
        <v>1246</v>
      </c>
      <c r="H54" s="361">
        <v>4750</v>
      </c>
      <c r="I54" s="361">
        <v>17</v>
      </c>
      <c r="J54" s="349">
        <v>38</v>
      </c>
    </row>
    <row r="55" spans="1:10" ht="12.75">
      <c r="A55" s="360">
        <v>17</v>
      </c>
      <c r="B55" s="348" t="s">
        <v>287</v>
      </c>
      <c r="C55" s="349">
        <v>2806</v>
      </c>
      <c r="D55" s="349">
        <v>2300</v>
      </c>
      <c r="E55" s="350">
        <v>0.82</v>
      </c>
      <c r="F55" s="361">
        <v>683</v>
      </c>
      <c r="G55" s="361">
        <v>579</v>
      </c>
      <c r="H55" s="361">
        <v>2297</v>
      </c>
      <c r="I55" s="361">
        <v>0</v>
      </c>
      <c r="J55" s="349">
        <v>0</v>
      </c>
    </row>
    <row r="56" spans="1:10" ht="12.75">
      <c r="A56" s="360">
        <v>18</v>
      </c>
      <c r="B56" s="348" t="s">
        <v>288</v>
      </c>
      <c r="C56" s="349">
        <v>1920</v>
      </c>
      <c r="D56" s="349">
        <v>1567</v>
      </c>
      <c r="E56" s="350">
        <v>0.816</v>
      </c>
      <c r="F56" s="361">
        <v>488</v>
      </c>
      <c r="G56" s="361">
        <v>410</v>
      </c>
      <c r="H56" s="361">
        <v>1567</v>
      </c>
      <c r="I56" s="361">
        <v>0</v>
      </c>
      <c r="J56" s="349">
        <v>0</v>
      </c>
    </row>
    <row r="57" spans="1:10" ht="12.75">
      <c r="A57" s="360">
        <v>19</v>
      </c>
      <c r="B57" s="348" t="s">
        <v>289</v>
      </c>
      <c r="C57" s="349">
        <v>3377</v>
      </c>
      <c r="D57" s="349">
        <v>2824</v>
      </c>
      <c r="E57" s="350">
        <v>0.836</v>
      </c>
      <c r="F57" s="361">
        <v>895</v>
      </c>
      <c r="G57" s="361">
        <v>758</v>
      </c>
      <c r="H57" s="361">
        <v>2824</v>
      </c>
      <c r="I57" s="361">
        <v>0</v>
      </c>
      <c r="J57" s="349">
        <v>0</v>
      </c>
    </row>
    <row r="58" spans="1:10" ht="12.75">
      <c r="A58" s="360">
        <v>20</v>
      </c>
      <c r="B58" s="348" t="s">
        <v>290</v>
      </c>
      <c r="C58" s="349">
        <v>1963</v>
      </c>
      <c r="D58" s="349">
        <v>1545</v>
      </c>
      <c r="E58" s="350">
        <v>0.787</v>
      </c>
      <c r="F58" s="361">
        <v>489</v>
      </c>
      <c r="G58" s="361">
        <v>379</v>
      </c>
      <c r="H58" s="361">
        <v>1545</v>
      </c>
      <c r="I58" s="361">
        <v>4</v>
      </c>
      <c r="J58" s="349">
        <v>0</v>
      </c>
    </row>
    <row r="59" spans="1:10" ht="12.75">
      <c r="A59" s="360">
        <v>21</v>
      </c>
      <c r="B59" s="348" t="s">
        <v>291</v>
      </c>
      <c r="C59" s="349">
        <v>3993</v>
      </c>
      <c r="D59" s="349">
        <v>2986</v>
      </c>
      <c r="E59" s="350">
        <v>0.748</v>
      </c>
      <c r="F59" s="361">
        <v>1018</v>
      </c>
      <c r="G59" s="361">
        <v>768</v>
      </c>
      <c r="H59" s="361">
        <v>2986</v>
      </c>
      <c r="I59" s="361">
        <v>1</v>
      </c>
      <c r="J59" s="349">
        <v>0</v>
      </c>
    </row>
    <row r="60" spans="1:10" ht="12.75">
      <c r="A60" s="360">
        <v>22</v>
      </c>
      <c r="B60" s="348" t="s">
        <v>1006</v>
      </c>
      <c r="C60" s="349">
        <v>3272</v>
      </c>
      <c r="D60" s="349">
        <v>2935</v>
      </c>
      <c r="E60" s="350">
        <v>0.897</v>
      </c>
      <c r="F60" s="361">
        <v>723</v>
      </c>
      <c r="G60" s="361">
        <v>646</v>
      </c>
      <c r="H60" s="361">
        <v>2400</v>
      </c>
      <c r="I60" s="361">
        <v>146</v>
      </c>
      <c r="J60" s="349">
        <v>535</v>
      </c>
    </row>
    <row r="61" spans="1:10" ht="12.75">
      <c r="A61" s="360">
        <v>23</v>
      </c>
      <c r="B61" s="348" t="s">
        <v>292</v>
      </c>
      <c r="C61" s="349">
        <v>5560</v>
      </c>
      <c r="D61" s="349">
        <v>4274</v>
      </c>
      <c r="E61" s="350">
        <v>0.769</v>
      </c>
      <c r="F61" s="361">
        <v>1519</v>
      </c>
      <c r="G61" s="361">
        <v>1126</v>
      </c>
      <c r="H61" s="361">
        <v>3960</v>
      </c>
      <c r="I61" s="361">
        <v>108</v>
      </c>
      <c r="J61" s="349">
        <v>314</v>
      </c>
    </row>
    <row r="62" spans="1:10" ht="12.75">
      <c r="A62" s="360">
        <v>24</v>
      </c>
      <c r="B62" s="348" t="s">
        <v>293</v>
      </c>
      <c r="C62" s="349">
        <v>4543</v>
      </c>
      <c r="D62" s="349">
        <v>3881</v>
      </c>
      <c r="E62" s="350">
        <v>0.854</v>
      </c>
      <c r="F62" s="361">
        <v>1289</v>
      </c>
      <c r="G62" s="361">
        <v>1105</v>
      </c>
      <c r="H62" s="361">
        <v>3879</v>
      </c>
      <c r="I62" s="361">
        <v>0</v>
      </c>
      <c r="J62" s="349">
        <v>0</v>
      </c>
    </row>
    <row r="63" spans="1:10" ht="12.75">
      <c r="A63" s="360">
        <v>25</v>
      </c>
      <c r="B63" s="348" t="s">
        <v>294</v>
      </c>
      <c r="C63" s="349">
        <v>4956</v>
      </c>
      <c r="D63" s="349">
        <v>3817</v>
      </c>
      <c r="E63" s="350">
        <v>0.77</v>
      </c>
      <c r="F63" s="361">
        <v>1296</v>
      </c>
      <c r="G63" s="361">
        <v>1025</v>
      </c>
      <c r="H63" s="361">
        <v>3817</v>
      </c>
      <c r="I63" s="361">
        <v>0</v>
      </c>
      <c r="J63" s="349">
        <v>0</v>
      </c>
    </row>
    <row r="64" spans="1:10" ht="12.75">
      <c r="A64" s="360">
        <v>26</v>
      </c>
      <c r="B64" s="348" t="s">
        <v>295</v>
      </c>
      <c r="C64" s="349">
        <v>4504</v>
      </c>
      <c r="D64" s="349">
        <v>3613</v>
      </c>
      <c r="E64" s="350">
        <v>0.802</v>
      </c>
      <c r="F64" s="361">
        <v>1121</v>
      </c>
      <c r="G64" s="361">
        <v>894</v>
      </c>
      <c r="H64" s="361">
        <v>3592</v>
      </c>
      <c r="I64" s="361">
        <v>7</v>
      </c>
      <c r="J64" s="349">
        <v>21</v>
      </c>
    </row>
    <row r="65" spans="1:10" ht="12.75">
      <c r="A65" s="360">
        <v>27</v>
      </c>
      <c r="B65" s="348" t="s">
        <v>296</v>
      </c>
      <c r="C65" s="349">
        <v>3823</v>
      </c>
      <c r="D65" s="349">
        <v>2923</v>
      </c>
      <c r="E65" s="350">
        <v>0.765</v>
      </c>
      <c r="F65" s="361">
        <v>920</v>
      </c>
      <c r="G65" s="361">
        <v>718</v>
      </c>
      <c r="H65" s="361">
        <v>2923</v>
      </c>
      <c r="I65" s="361">
        <v>0</v>
      </c>
      <c r="J65" s="349">
        <v>0</v>
      </c>
    </row>
    <row r="66" spans="1:10" ht="12.75">
      <c r="A66" s="360">
        <v>28</v>
      </c>
      <c r="B66" s="348" t="s">
        <v>297</v>
      </c>
      <c r="C66" s="349">
        <v>3650</v>
      </c>
      <c r="D66" s="349">
        <v>2673</v>
      </c>
      <c r="E66" s="350">
        <v>0.732</v>
      </c>
      <c r="F66" s="361">
        <v>909</v>
      </c>
      <c r="G66" s="361">
        <v>675</v>
      </c>
      <c r="H66" s="361">
        <v>2667</v>
      </c>
      <c r="I66" s="361">
        <v>63</v>
      </c>
      <c r="J66" s="349">
        <v>0</v>
      </c>
    </row>
    <row r="67" spans="1:84" s="409" customFormat="1" ht="19.5" customHeight="1">
      <c r="A67" s="362" t="s">
        <v>496</v>
      </c>
      <c r="B67" s="363" t="s">
        <v>298</v>
      </c>
      <c r="C67" s="358">
        <v>109701</v>
      </c>
      <c r="D67" s="358">
        <v>96950</v>
      </c>
      <c r="E67" s="359">
        <v>0.8837658726903127</v>
      </c>
      <c r="F67" s="358">
        <v>25390</v>
      </c>
      <c r="G67" s="358">
        <v>21625</v>
      </c>
      <c r="H67" s="358">
        <v>85515</v>
      </c>
      <c r="I67" s="358">
        <v>3325</v>
      </c>
      <c r="J67" s="358">
        <v>11432</v>
      </c>
      <c r="CE67" s="410"/>
      <c r="CF67" s="410"/>
    </row>
    <row r="68" spans="1:10" ht="12.75">
      <c r="A68" s="360">
        <v>1</v>
      </c>
      <c r="B68" s="348" t="s">
        <v>1007</v>
      </c>
      <c r="C68" s="349">
        <v>7177</v>
      </c>
      <c r="D68" s="349">
        <v>7047</v>
      </c>
      <c r="E68" s="350">
        <v>0.982</v>
      </c>
      <c r="F68" s="349">
        <v>1298</v>
      </c>
      <c r="G68" s="349">
        <v>1263</v>
      </c>
      <c r="H68" s="349">
        <v>4149</v>
      </c>
      <c r="I68" s="349">
        <v>928</v>
      </c>
      <c r="J68" s="349">
        <v>2898</v>
      </c>
    </row>
    <row r="69" spans="1:10" ht="12.75">
      <c r="A69" s="360">
        <v>2</v>
      </c>
      <c r="B69" s="348" t="s">
        <v>299</v>
      </c>
      <c r="C69" s="349">
        <v>3484</v>
      </c>
      <c r="D69" s="349">
        <v>3207</v>
      </c>
      <c r="E69" s="350">
        <v>0.92</v>
      </c>
      <c r="F69" s="349">
        <v>957</v>
      </c>
      <c r="G69" s="349">
        <v>863</v>
      </c>
      <c r="H69" s="349">
        <v>3207</v>
      </c>
      <c r="I69" s="349">
        <v>0</v>
      </c>
      <c r="J69" s="349">
        <v>0</v>
      </c>
    </row>
    <row r="70" spans="1:10" ht="12.75">
      <c r="A70" s="360">
        <v>3</v>
      </c>
      <c r="B70" s="348" t="s">
        <v>300</v>
      </c>
      <c r="C70" s="349">
        <v>3736</v>
      </c>
      <c r="D70" s="349">
        <v>3446</v>
      </c>
      <c r="E70" s="350">
        <v>0.922</v>
      </c>
      <c r="F70" s="361">
        <v>741</v>
      </c>
      <c r="G70" s="361">
        <v>665</v>
      </c>
      <c r="H70" s="361">
        <v>2711</v>
      </c>
      <c r="I70" s="361">
        <v>207</v>
      </c>
      <c r="J70" s="349">
        <v>735</v>
      </c>
    </row>
    <row r="71" spans="1:10" ht="12.75">
      <c r="A71" s="360">
        <v>4</v>
      </c>
      <c r="B71" s="348" t="s">
        <v>1008</v>
      </c>
      <c r="C71" s="349">
        <v>2444</v>
      </c>
      <c r="D71" s="349">
        <v>2214</v>
      </c>
      <c r="E71" s="350">
        <v>0.906</v>
      </c>
      <c r="F71" s="349">
        <v>623</v>
      </c>
      <c r="G71" s="349">
        <v>565</v>
      </c>
      <c r="H71" s="349">
        <v>2214</v>
      </c>
      <c r="I71" s="349">
        <v>2</v>
      </c>
      <c r="J71" s="349">
        <v>0</v>
      </c>
    </row>
    <row r="72" spans="1:10" ht="12.75">
      <c r="A72" s="360">
        <v>5</v>
      </c>
      <c r="B72" s="348" t="s">
        <v>301</v>
      </c>
      <c r="C72" s="349">
        <v>2058</v>
      </c>
      <c r="D72" s="349">
        <v>1727</v>
      </c>
      <c r="E72" s="350">
        <v>0.839</v>
      </c>
      <c r="F72" s="361">
        <v>500</v>
      </c>
      <c r="G72" s="361">
        <v>414</v>
      </c>
      <c r="H72" s="361">
        <v>1727</v>
      </c>
      <c r="I72" s="361">
        <v>0</v>
      </c>
      <c r="J72" s="349">
        <v>0</v>
      </c>
    </row>
    <row r="73" spans="1:10" ht="12.75">
      <c r="A73" s="360">
        <v>6</v>
      </c>
      <c r="B73" s="348" t="s">
        <v>1009</v>
      </c>
      <c r="C73" s="349">
        <v>3042</v>
      </c>
      <c r="D73" s="349">
        <v>2908</v>
      </c>
      <c r="E73" s="350">
        <v>0.956</v>
      </c>
      <c r="F73" s="349">
        <v>807</v>
      </c>
      <c r="G73" s="349">
        <v>765</v>
      </c>
      <c r="H73" s="349">
        <v>2908</v>
      </c>
      <c r="I73" s="349">
        <v>2</v>
      </c>
      <c r="J73" s="349">
        <v>0</v>
      </c>
    </row>
    <row r="74" spans="1:10" ht="12.75">
      <c r="A74" s="360">
        <v>7</v>
      </c>
      <c r="B74" s="348" t="s">
        <v>302</v>
      </c>
      <c r="C74" s="349">
        <v>4504</v>
      </c>
      <c r="D74" s="349">
        <v>3871</v>
      </c>
      <c r="E74" s="350">
        <v>0.859</v>
      </c>
      <c r="F74" s="361">
        <v>1115</v>
      </c>
      <c r="G74" s="361">
        <v>954</v>
      </c>
      <c r="H74" s="361">
        <v>3871</v>
      </c>
      <c r="I74" s="361">
        <v>0</v>
      </c>
      <c r="J74" s="349">
        <v>0</v>
      </c>
    </row>
    <row r="75" spans="1:10" ht="12.75">
      <c r="A75" s="360">
        <v>8</v>
      </c>
      <c r="B75" s="348" t="s">
        <v>303</v>
      </c>
      <c r="C75" s="349">
        <v>2235</v>
      </c>
      <c r="D75" s="349">
        <v>1617</v>
      </c>
      <c r="E75" s="350">
        <v>0.723</v>
      </c>
      <c r="F75" s="349">
        <v>599</v>
      </c>
      <c r="G75" s="349">
        <v>442</v>
      </c>
      <c r="H75" s="349">
        <v>1617</v>
      </c>
      <c r="I75" s="349">
        <v>0</v>
      </c>
      <c r="J75" s="349">
        <v>0</v>
      </c>
    </row>
    <row r="76" spans="1:10" ht="12.75">
      <c r="A76" s="360">
        <v>9</v>
      </c>
      <c r="B76" s="348" t="s">
        <v>304</v>
      </c>
      <c r="C76" s="349">
        <v>2408</v>
      </c>
      <c r="D76" s="349">
        <v>2299</v>
      </c>
      <c r="E76" s="350">
        <v>0.955</v>
      </c>
      <c r="F76" s="361">
        <v>539</v>
      </c>
      <c r="G76" s="361">
        <v>402</v>
      </c>
      <c r="H76" s="361">
        <v>1603</v>
      </c>
      <c r="I76" s="361">
        <v>192</v>
      </c>
      <c r="J76" s="349">
        <v>696</v>
      </c>
    </row>
    <row r="77" spans="1:10" ht="12.75">
      <c r="A77" s="360">
        <v>10</v>
      </c>
      <c r="B77" s="348" t="s">
        <v>305</v>
      </c>
      <c r="C77" s="349">
        <v>3893</v>
      </c>
      <c r="D77" s="349">
        <v>3509</v>
      </c>
      <c r="E77" s="350">
        <v>0.901</v>
      </c>
      <c r="F77" s="361">
        <v>765</v>
      </c>
      <c r="G77" s="361">
        <v>671</v>
      </c>
      <c r="H77" s="361">
        <v>2832</v>
      </c>
      <c r="I77" s="361">
        <v>173</v>
      </c>
      <c r="J77" s="349">
        <v>677</v>
      </c>
    </row>
    <row r="78" spans="1:10" ht="12.75">
      <c r="A78" s="360">
        <v>11</v>
      </c>
      <c r="B78" s="348" t="s">
        <v>306</v>
      </c>
      <c r="C78" s="349">
        <v>3448</v>
      </c>
      <c r="D78" s="349">
        <v>3254</v>
      </c>
      <c r="E78" s="350">
        <v>0.944</v>
      </c>
      <c r="F78" s="361">
        <v>931</v>
      </c>
      <c r="G78" s="361">
        <v>896</v>
      </c>
      <c r="H78" s="361">
        <v>3251</v>
      </c>
      <c r="I78" s="361">
        <v>0</v>
      </c>
      <c r="J78" s="349">
        <v>0</v>
      </c>
    </row>
    <row r="79" spans="1:10" ht="12.75">
      <c r="A79" s="360">
        <v>12</v>
      </c>
      <c r="B79" s="348" t="s">
        <v>307</v>
      </c>
      <c r="C79" s="349">
        <v>2784</v>
      </c>
      <c r="D79" s="349">
        <v>2390</v>
      </c>
      <c r="E79" s="350">
        <v>0.858</v>
      </c>
      <c r="F79" s="361">
        <v>761</v>
      </c>
      <c r="G79" s="361">
        <v>661</v>
      </c>
      <c r="H79" s="361">
        <v>2390</v>
      </c>
      <c r="I79" s="361">
        <v>0</v>
      </c>
      <c r="J79" s="349">
        <v>0</v>
      </c>
    </row>
    <row r="80" spans="1:10" ht="12.75">
      <c r="A80" s="360">
        <v>13</v>
      </c>
      <c r="B80" s="348" t="s">
        <v>308</v>
      </c>
      <c r="C80" s="349">
        <v>2091</v>
      </c>
      <c r="D80" s="349">
        <v>1884</v>
      </c>
      <c r="E80" s="350">
        <v>0.901</v>
      </c>
      <c r="F80" s="361">
        <v>487</v>
      </c>
      <c r="G80" s="361">
        <v>443</v>
      </c>
      <c r="H80" s="361">
        <v>1884</v>
      </c>
      <c r="I80" s="361">
        <v>0</v>
      </c>
      <c r="J80" s="349">
        <v>0</v>
      </c>
    </row>
    <row r="81" spans="1:10" ht="12.75">
      <c r="A81" s="360">
        <v>14</v>
      </c>
      <c r="B81" s="348" t="s">
        <v>309</v>
      </c>
      <c r="C81" s="349">
        <v>3450</v>
      </c>
      <c r="D81" s="349">
        <v>3367</v>
      </c>
      <c r="E81" s="350">
        <v>0.976</v>
      </c>
      <c r="F81" s="361">
        <v>351</v>
      </c>
      <c r="G81" s="361">
        <v>326</v>
      </c>
      <c r="H81" s="361">
        <v>1259</v>
      </c>
      <c r="I81" s="361">
        <v>584</v>
      </c>
      <c r="J81" s="349">
        <v>2108</v>
      </c>
    </row>
    <row r="82" spans="1:10" ht="12.75">
      <c r="A82" s="360">
        <v>15</v>
      </c>
      <c r="B82" s="348" t="s">
        <v>310</v>
      </c>
      <c r="C82" s="349">
        <v>5825</v>
      </c>
      <c r="D82" s="349">
        <v>4522</v>
      </c>
      <c r="E82" s="350">
        <v>0.776</v>
      </c>
      <c r="F82" s="361">
        <v>1471</v>
      </c>
      <c r="G82" s="361">
        <v>1128</v>
      </c>
      <c r="H82" s="361">
        <v>4516</v>
      </c>
      <c r="I82" s="361">
        <v>0</v>
      </c>
      <c r="J82" s="349">
        <v>6</v>
      </c>
    </row>
    <row r="83" spans="1:10" ht="12.75">
      <c r="A83" s="360">
        <v>16</v>
      </c>
      <c r="B83" s="348" t="s">
        <v>311</v>
      </c>
      <c r="C83" s="349">
        <v>2736</v>
      </c>
      <c r="D83" s="349">
        <v>2408</v>
      </c>
      <c r="E83" s="350">
        <v>0.88</v>
      </c>
      <c r="F83" s="361">
        <v>672</v>
      </c>
      <c r="G83" s="361">
        <v>586</v>
      </c>
      <c r="H83" s="361">
        <v>2408</v>
      </c>
      <c r="I83" s="361">
        <v>0</v>
      </c>
      <c r="J83" s="349">
        <v>0</v>
      </c>
    </row>
    <row r="84" spans="1:10" ht="12.75">
      <c r="A84" s="360">
        <v>17</v>
      </c>
      <c r="B84" s="348" t="s">
        <v>312</v>
      </c>
      <c r="C84" s="349">
        <v>3767</v>
      </c>
      <c r="D84" s="349">
        <v>3263</v>
      </c>
      <c r="E84" s="350">
        <v>0.866</v>
      </c>
      <c r="F84" s="361">
        <v>917</v>
      </c>
      <c r="G84" s="361">
        <v>785</v>
      </c>
      <c r="H84" s="361">
        <v>3263</v>
      </c>
      <c r="I84" s="361">
        <v>0</v>
      </c>
      <c r="J84" s="349">
        <v>0</v>
      </c>
    </row>
    <row r="85" spans="1:10" ht="12.75">
      <c r="A85" s="360">
        <v>18</v>
      </c>
      <c r="B85" s="348" t="s">
        <v>1010</v>
      </c>
      <c r="C85" s="349">
        <v>2382</v>
      </c>
      <c r="D85" s="349">
        <v>2163</v>
      </c>
      <c r="E85" s="350">
        <v>0.908</v>
      </c>
      <c r="F85" s="361">
        <v>596</v>
      </c>
      <c r="G85" s="361">
        <v>538</v>
      </c>
      <c r="H85" s="361">
        <v>2163</v>
      </c>
      <c r="I85" s="361">
        <v>0</v>
      </c>
      <c r="J85" s="349">
        <v>0</v>
      </c>
    </row>
    <row r="86" spans="1:10" ht="12.75">
      <c r="A86" s="360">
        <v>19</v>
      </c>
      <c r="B86" s="348" t="s">
        <v>313</v>
      </c>
      <c r="C86" s="349">
        <v>2215</v>
      </c>
      <c r="D86" s="349">
        <v>2070</v>
      </c>
      <c r="E86" s="350">
        <v>0.935</v>
      </c>
      <c r="F86" s="361">
        <v>464</v>
      </c>
      <c r="G86" s="361">
        <v>446</v>
      </c>
      <c r="H86" s="361">
        <v>2070</v>
      </c>
      <c r="I86" s="361">
        <v>0</v>
      </c>
      <c r="J86" s="349">
        <v>0</v>
      </c>
    </row>
    <row r="87" spans="1:10" ht="12.75">
      <c r="A87" s="360">
        <v>20</v>
      </c>
      <c r="B87" s="348" t="s">
        <v>1011</v>
      </c>
      <c r="C87" s="349">
        <v>1481</v>
      </c>
      <c r="D87" s="349">
        <v>1186</v>
      </c>
      <c r="E87" s="350">
        <v>0.801</v>
      </c>
      <c r="F87" s="361">
        <v>313</v>
      </c>
      <c r="G87" s="361">
        <v>239</v>
      </c>
      <c r="H87" s="361">
        <v>1186</v>
      </c>
      <c r="I87" s="361">
        <v>0</v>
      </c>
      <c r="J87" s="349">
        <v>0</v>
      </c>
    </row>
    <row r="88" spans="1:10" ht="12.75">
      <c r="A88" s="360">
        <v>21</v>
      </c>
      <c r="B88" s="348" t="s">
        <v>314</v>
      </c>
      <c r="C88" s="349">
        <v>2500</v>
      </c>
      <c r="D88" s="349">
        <v>1759</v>
      </c>
      <c r="E88" s="350">
        <v>0.704</v>
      </c>
      <c r="F88" s="361">
        <v>645</v>
      </c>
      <c r="G88" s="361">
        <v>460</v>
      </c>
      <c r="H88" s="361">
        <v>1759</v>
      </c>
      <c r="I88" s="361">
        <v>0</v>
      </c>
      <c r="J88" s="349">
        <v>0</v>
      </c>
    </row>
    <row r="89" spans="1:10" ht="12.75">
      <c r="A89" s="360">
        <v>22</v>
      </c>
      <c r="B89" s="348" t="s">
        <v>315</v>
      </c>
      <c r="C89" s="349">
        <v>2929</v>
      </c>
      <c r="D89" s="349">
        <v>2803</v>
      </c>
      <c r="E89" s="350">
        <v>0.957</v>
      </c>
      <c r="F89" s="361">
        <v>515</v>
      </c>
      <c r="G89" s="361">
        <v>475</v>
      </c>
      <c r="H89" s="361">
        <v>1894</v>
      </c>
      <c r="I89" s="361">
        <v>247</v>
      </c>
      <c r="J89" s="349">
        <v>909</v>
      </c>
    </row>
    <row r="90" spans="1:10" ht="12.75">
      <c r="A90" s="360">
        <v>23</v>
      </c>
      <c r="B90" s="348" t="s">
        <v>316</v>
      </c>
      <c r="C90" s="349">
        <v>3298</v>
      </c>
      <c r="D90" s="349">
        <v>2460</v>
      </c>
      <c r="E90" s="350">
        <v>0.746</v>
      </c>
      <c r="F90" s="361">
        <v>874</v>
      </c>
      <c r="G90" s="361">
        <v>652</v>
      </c>
      <c r="H90" s="361">
        <v>2452</v>
      </c>
      <c r="I90" s="361">
        <v>0</v>
      </c>
      <c r="J90" s="349">
        <v>8</v>
      </c>
    </row>
    <row r="91" spans="1:10" ht="12.75">
      <c r="A91" s="360">
        <v>24</v>
      </c>
      <c r="B91" s="348" t="s">
        <v>317</v>
      </c>
      <c r="C91" s="349">
        <v>2836</v>
      </c>
      <c r="D91" s="349">
        <v>2490</v>
      </c>
      <c r="E91" s="350">
        <v>0.878</v>
      </c>
      <c r="F91" s="361">
        <v>736</v>
      </c>
      <c r="G91" s="361">
        <v>631</v>
      </c>
      <c r="H91" s="361">
        <v>2490</v>
      </c>
      <c r="I91" s="361">
        <v>0</v>
      </c>
      <c r="J91" s="349">
        <v>0</v>
      </c>
    </row>
    <row r="92" spans="1:10" ht="12.75">
      <c r="A92" s="360">
        <v>25</v>
      </c>
      <c r="B92" s="348" t="s">
        <v>318</v>
      </c>
      <c r="C92" s="349">
        <v>2272</v>
      </c>
      <c r="D92" s="349">
        <v>1923</v>
      </c>
      <c r="E92" s="350">
        <v>0.846</v>
      </c>
      <c r="F92" s="361">
        <v>585</v>
      </c>
      <c r="G92" s="361">
        <v>494</v>
      </c>
      <c r="H92" s="361">
        <v>1923</v>
      </c>
      <c r="I92" s="361">
        <v>0</v>
      </c>
      <c r="J92" s="349">
        <v>0</v>
      </c>
    </row>
    <row r="93" spans="1:10" ht="12.75">
      <c r="A93" s="360">
        <v>26</v>
      </c>
      <c r="B93" s="348" t="s">
        <v>319</v>
      </c>
      <c r="C93" s="349">
        <v>3654</v>
      </c>
      <c r="D93" s="349">
        <v>2929</v>
      </c>
      <c r="E93" s="350">
        <v>0.802</v>
      </c>
      <c r="F93" s="361">
        <v>714</v>
      </c>
      <c r="G93" s="361">
        <v>533</v>
      </c>
      <c r="H93" s="361">
        <v>2132</v>
      </c>
      <c r="I93" s="361">
        <v>237</v>
      </c>
      <c r="J93" s="349">
        <v>797</v>
      </c>
    </row>
    <row r="94" spans="1:10" ht="12.75">
      <c r="A94" s="360">
        <v>27</v>
      </c>
      <c r="B94" s="348" t="s">
        <v>1012</v>
      </c>
      <c r="C94" s="349">
        <v>4752</v>
      </c>
      <c r="D94" s="349">
        <v>4448</v>
      </c>
      <c r="E94" s="350">
        <v>0.936</v>
      </c>
      <c r="F94" s="361">
        <v>1092</v>
      </c>
      <c r="G94" s="361">
        <v>873</v>
      </c>
      <c r="H94" s="361">
        <v>3155</v>
      </c>
      <c r="I94" s="361">
        <v>394</v>
      </c>
      <c r="J94" s="349">
        <v>1293</v>
      </c>
    </row>
    <row r="95" spans="1:10" ht="12.75">
      <c r="A95" s="360">
        <v>28</v>
      </c>
      <c r="B95" s="348" t="s">
        <v>320</v>
      </c>
      <c r="C95" s="349">
        <v>4990</v>
      </c>
      <c r="D95" s="349">
        <v>4484</v>
      </c>
      <c r="E95" s="350">
        <v>0.899</v>
      </c>
      <c r="F95" s="361">
        <v>1073</v>
      </c>
      <c r="G95" s="361">
        <v>936</v>
      </c>
      <c r="H95" s="361">
        <v>4463</v>
      </c>
      <c r="I95" s="361">
        <v>6</v>
      </c>
      <c r="J95" s="349">
        <v>21</v>
      </c>
    </row>
    <row r="96" spans="1:10" ht="12.75">
      <c r="A96" s="360">
        <v>29</v>
      </c>
      <c r="B96" s="348" t="s">
        <v>321</v>
      </c>
      <c r="C96" s="349">
        <v>1789</v>
      </c>
      <c r="D96" s="349">
        <v>1726</v>
      </c>
      <c r="E96" s="350">
        <v>0.965</v>
      </c>
      <c r="F96" s="361">
        <v>384</v>
      </c>
      <c r="G96" s="361">
        <v>119</v>
      </c>
      <c r="H96" s="361">
        <v>442</v>
      </c>
      <c r="I96" s="361">
        <v>352</v>
      </c>
      <c r="J96" s="349">
        <v>1284</v>
      </c>
    </row>
    <row r="97" spans="1:10" ht="12.75">
      <c r="A97" s="360">
        <v>30</v>
      </c>
      <c r="B97" s="348" t="s">
        <v>322</v>
      </c>
      <c r="C97" s="349">
        <v>4610</v>
      </c>
      <c r="D97" s="349">
        <v>4008</v>
      </c>
      <c r="E97" s="350">
        <v>0.869</v>
      </c>
      <c r="F97" s="361">
        <v>1140</v>
      </c>
      <c r="G97" s="361">
        <v>977</v>
      </c>
      <c r="H97" s="361">
        <v>4008</v>
      </c>
      <c r="I97" s="361">
        <v>0</v>
      </c>
      <c r="J97" s="349">
        <v>0</v>
      </c>
    </row>
    <row r="98" spans="1:10" ht="12.75">
      <c r="A98" s="360">
        <v>31</v>
      </c>
      <c r="B98" s="348" t="s">
        <v>323</v>
      </c>
      <c r="C98" s="349">
        <v>2440</v>
      </c>
      <c r="D98" s="349">
        <v>2178</v>
      </c>
      <c r="E98" s="350">
        <v>0.893</v>
      </c>
      <c r="F98" s="361">
        <v>634</v>
      </c>
      <c r="G98" s="361">
        <v>570</v>
      </c>
      <c r="H98" s="361">
        <v>2178</v>
      </c>
      <c r="I98" s="361">
        <v>0</v>
      </c>
      <c r="J98" s="349">
        <v>0</v>
      </c>
    </row>
    <row r="99" spans="1:10" ht="12.75">
      <c r="A99" s="360">
        <v>32</v>
      </c>
      <c r="B99" s="348" t="s">
        <v>324</v>
      </c>
      <c r="C99" s="349">
        <v>5083</v>
      </c>
      <c r="D99" s="349">
        <v>4815</v>
      </c>
      <c r="E99" s="350">
        <v>0.947</v>
      </c>
      <c r="F99" s="361">
        <v>1246</v>
      </c>
      <c r="G99" s="361">
        <v>1216</v>
      </c>
      <c r="H99" s="361">
        <v>4815</v>
      </c>
      <c r="I99" s="361">
        <v>0</v>
      </c>
      <c r="J99" s="349">
        <v>0</v>
      </c>
    </row>
    <row r="100" spans="1:10" ht="12.75">
      <c r="A100" s="360">
        <v>33</v>
      </c>
      <c r="B100" s="348" t="s">
        <v>325</v>
      </c>
      <c r="C100" s="349">
        <v>3388</v>
      </c>
      <c r="D100" s="349">
        <v>2575</v>
      </c>
      <c r="E100" s="350">
        <v>0.76</v>
      </c>
      <c r="F100" s="361">
        <v>845</v>
      </c>
      <c r="G100" s="361">
        <v>637</v>
      </c>
      <c r="H100" s="361">
        <v>2575</v>
      </c>
      <c r="I100" s="361">
        <v>1</v>
      </c>
      <c r="J100" s="349">
        <v>0</v>
      </c>
    </row>
    <row r="101" spans="1:84" s="409" customFormat="1" ht="19.5" customHeight="1">
      <c r="A101" s="362" t="s">
        <v>498</v>
      </c>
      <c r="B101" s="363" t="s">
        <v>326</v>
      </c>
      <c r="C101" s="358">
        <v>98914</v>
      </c>
      <c r="D101" s="358">
        <v>90457</v>
      </c>
      <c r="E101" s="359">
        <v>0.9145014861394747</v>
      </c>
      <c r="F101" s="358">
        <v>18228</v>
      </c>
      <c r="G101" s="358">
        <v>11199</v>
      </c>
      <c r="H101" s="358">
        <v>42598</v>
      </c>
      <c r="I101" s="358">
        <v>12734</v>
      </c>
      <c r="J101" s="358">
        <v>46693</v>
      </c>
      <c r="CE101" s="410"/>
      <c r="CF101" s="410"/>
    </row>
    <row r="102" spans="1:84" ht="12.75">
      <c r="A102" s="360">
        <v>1</v>
      </c>
      <c r="B102" s="348" t="s">
        <v>1013</v>
      </c>
      <c r="C102" s="349">
        <v>9113</v>
      </c>
      <c r="D102" s="349">
        <v>8918</v>
      </c>
      <c r="E102" s="350">
        <v>0.979</v>
      </c>
      <c r="F102" s="361">
        <v>1281</v>
      </c>
      <c r="G102" s="361">
        <v>956</v>
      </c>
      <c r="H102" s="361">
        <v>3811</v>
      </c>
      <c r="I102" s="361">
        <v>1555</v>
      </c>
      <c r="J102" s="349">
        <v>5107</v>
      </c>
      <c r="CE102" s="364"/>
      <c r="CF102" s="364"/>
    </row>
    <row r="103" spans="1:84" ht="12.75">
      <c r="A103" s="360">
        <v>2</v>
      </c>
      <c r="B103" s="348" t="s">
        <v>327</v>
      </c>
      <c r="C103" s="349">
        <v>9190</v>
      </c>
      <c r="D103" s="349">
        <v>8157</v>
      </c>
      <c r="E103" s="350">
        <v>0.888</v>
      </c>
      <c r="F103" s="361">
        <v>1584</v>
      </c>
      <c r="G103" s="361">
        <v>935</v>
      </c>
      <c r="H103" s="361">
        <v>3747</v>
      </c>
      <c r="I103" s="361">
        <v>1159</v>
      </c>
      <c r="J103" s="349">
        <v>4410</v>
      </c>
      <c r="CE103" s="364"/>
      <c r="CF103" s="364"/>
    </row>
    <row r="104" spans="1:84" ht="12.75">
      <c r="A104" s="360">
        <v>3</v>
      </c>
      <c r="B104" s="348" t="s">
        <v>328</v>
      </c>
      <c r="C104" s="349">
        <v>8384</v>
      </c>
      <c r="D104" s="349">
        <v>6738</v>
      </c>
      <c r="E104" s="350">
        <v>0.804</v>
      </c>
      <c r="F104" s="349">
        <v>2208</v>
      </c>
      <c r="G104" s="349">
        <v>1547</v>
      </c>
      <c r="H104" s="349">
        <v>5835</v>
      </c>
      <c r="I104" s="349">
        <v>227</v>
      </c>
      <c r="J104" s="349">
        <v>903</v>
      </c>
      <c r="CE104" s="364"/>
      <c r="CF104" s="364"/>
    </row>
    <row r="105" spans="1:84" ht="12.75">
      <c r="A105" s="360">
        <v>4</v>
      </c>
      <c r="B105" s="348" t="s">
        <v>329</v>
      </c>
      <c r="C105" s="349">
        <v>9555</v>
      </c>
      <c r="D105" s="349">
        <v>9503</v>
      </c>
      <c r="E105" s="350">
        <v>0.995</v>
      </c>
      <c r="F105" s="361">
        <v>78</v>
      </c>
      <c r="G105" s="361">
        <v>61</v>
      </c>
      <c r="H105" s="361">
        <v>258</v>
      </c>
      <c r="I105" s="361">
        <v>2443</v>
      </c>
      <c r="J105" s="349">
        <v>8282</v>
      </c>
      <c r="CE105" s="364"/>
      <c r="CF105" s="364"/>
    </row>
    <row r="106" spans="1:84" ht="12.75">
      <c r="A106" s="360">
        <v>5</v>
      </c>
      <c r="B106" s="348" t="s">
        <v>1014</v>
      </c>
      <c r="C106" s="349">
        <v>2962</v>
      </c>
      <c r="D106" s="349">
        <v>2747</v>
      </c>
      <c r="E106" s="350">
        <v>0.927</v>
      </c>
      <c r="F106" s="361">
        <v>612</v>
      </c>
      <c r="G106" s="361">
        <v>198</v>
      </c>
      <c r="H106" s="361">
        <v>758</v>
      </c>
      <c r="I106" s="361">
        <v>504</v>
      </c>
      <c r="J106" s="349">
        <v>1989</v>
      </c>
      <c r="CE106" s="364"/>
      <c r="CF106" s="364"/>
    </row>
    <row r="107" spans="1:84" ht="12.75">
      <c r="A107" s="360">
        <v>6</v>
      </c>
      <c r="B107" s="348" t="s">
        <v>1015</v>
      </c>
      <c r="C107" s="349">
        <v>5401</v>
      </c>
      <c r="D107" s="349">
        <v>4693</v>
      </c>
      <c r="E107" s="350">
        <v>0.869</v>
      </c>
      <c r="F107" s="361">
        <v>1442</v>
      </c>
      <c r="G107" s="361">
        <v>850</v>
      </c>
      <c r="H107" s="361">
        <v>3152</v>
      </c>
      <c r="I107" s="361">
        <v>420</v>
      </c>
      <c r="J107" s="349">
        <v>1541</v>
      </c>
      <c r="CE107" s="364"/>
      <c r="CF107" s="364"/>
    </row>
    <row r="108" spans="1:84" ht="12.75">
      <c r="A108" s="360">
        <v>7</v>
      </c>
      <c r="B108" s="348" t="s">
        <v>1016</v>
      </c>
      <c r="C108" s="349">
        <v>4570</v>
      </c>
      <c r="D108" s="349">
        <v>4288</v>
      </c>
      <c r="E108" s="350">
        <v>0.938</v>
      </c>
      <c r="F108" s="361">
        <v>923</v>
      </c>
      <c r="G108" s="361">
        <v>167</v>
      </c>
      <c r="H108" s="361">
        <v>663</v>
      </c>
      <c r="I108" s="361">
        <v>888</v>
      </c>
      <c r="J108" s="349">
        <v>3625</v>
      </c>
      <c r="CE108" s="364"/>
      <c r="CF108" s="364"/>
    </row>
    <row r="109" spans="1:84" ht="12.75">
      <c r="A109" s="360">
        <v>8</v>
      </c>
      <c r="B109" s="348" t="s">
        <v>1017</v>
      </c>
      <c r="C109" s="349">
        <v>9033</v>
      </c>
      <c r="D109" s="349">
        <v>7665</v>
      </c>
      <c r="E109" s="350">
        <v>0.849</v>
      </c>
      <c r="F109" s="361">
        <v>1932</v>
      </c>
      <c r="G109" s="361">
        <v>720</v>
      </c>
      <c r="H109" s="361">
        <v>2785</v>
      </c>
      <c r="I109" s="361">
        <v>1387</v>
      </c>
      <c r="J109" s="349">
        <v>5119</v>
      </c>
      <c r="CE109" s="364"/>
      <c r="CF109" s="364"/>
    </row>
    <row r="110" spans="1:84" ht="12.75">
      <c r="A110" s="360">
        <v>9</v>
      </c>
      <c r="B110" s="348" t="s">
        <v>330</v>
      </c>
      <c r="C110" s="349">
        <v>7633</v>
      </c>
      <c r="D110" s="349">
        <v>7212</v>
      </c>
      <c r="E110" s="350">
        <v>0.945</v>
      </c>
      <c r="F110" s="361">
        <v>531</v>
      </c>
      <c r="G110" s="361">
        <v>406</v>
      </c>
      <c r="H110" s="361">
        <v>1547</v>
      </c>
      <c r="I110" s="361">
        <v>1559</v>
      </c>
      <c r="J110" s="349">
        <v>5665</v>
      </c>
      <c r="CE110" s="364"/>
      <c r="CF110" s="364"/>
    </row>
    <row r="111" spans="1:84" ht="12.75">
      <c r="A111" s="360">
        <v>10</v>
      </c>
      <c r="B111" s="348" t="s">
        <v>1018</v>
      </c>
      <c r="C111" s="349">
        <v>7093</v>
      </c>
      <c r="D111" s="349">
        <v>6009</v>
      </c>
      <c r="E111" s="350">
        <v>0.847</v>
      </c>
      <c r="F111" s="361">
        <v>1809</v>
      </c>
      <c r="G111" s="361">
        <v>1443</v>
      </c>
      <c r="H111" s="361">
        <v>5547</v>
      </c>
      <c r="I111" s="361">
        <v>10</v>
      </c>
      <c r="J111" s="349">
        <v>43</v>
      </c>
      <c r="CE111" s="364"/>
      <c r="CF111" s="364"/>
    </row>
    <row r="112" spans="1:84" ht="12.75">
      <c r="A112" s="360">
        <v>11</v>
      </c>
      <c r="B112" s="348" t="s">
        <v>331</v>
      </c>
      <c r="C112" s="349">
        <v>9000</v>
      </c>
      <c r="D112" s="349">
        <v>8748</v>
      </c>
      <c r="E112" s="350">
        <v>0.972</v>
      </c>
      <c r="F112" s="361">
        <v>1389</v>
      </c>
      <c r="G112" s="361">
        <v>330</v>
      </c>
      <c r="H112" s="361">
        <v>1295</v>
      </c>
      <c r="I112" s="361">
        <v>1865</v>
      </c>
      <c r="J112" s="349">
        <v>7430</v>
      </c>
      <c r="CE112" s="364"/>
      <c r="CF112" s="364"/>
    </row>
    <row r="113" spans="1:84" ht="12.75">
      <c r="A113" s="360">
        <v>12</v>
      </c>
      <c r="B113" s="348" t="s">
        <v>332</v>
      </c>
      <c r="C113" s="349">
        <v>7543</v>
      </c>
      <c r="D113" s="349">
        <v>7201</v>
      </c>
      <c r="E113" s="350">
        <v>0.955</v>
      </c>
      <c r="F113" s="361">
        <v>2083</v>
      </c>
      <c r="G113" s="361">
        <v>1674</v>
      </c>
      <c r="H113" s="361">
        <v>6011</v>
      </c>
      <c r="I113" s="361">
        <v>343</v>
      </c>
      <c r="J113" s="349">
        <v>1190</v>
      </c>
      <c r="CE113" s="364"/>
      <c r="CF113" s="364"/>
    </row>
    <row r="114" spans="1:84" ht="12.75">
      <c r="A114" s="360">
        <v>13</v>
      </c>
      <c r="B114" s="348" t="s">
        <v>333</v>
      </c>
      <c r="C114" s="349">
        <v>4818</v>
      </c>
      <c r="D114" s="349">
        <v>4100</v>
      </c>
      <c r="E114" s="350">
        <v>0.851</v>
      </c>
      <c r="F114" s="361">
        <v>978</v>
      </c>
      <c r="G114" s="361">
        <v>639</v>
      </c>
      <c r="H114" s="361">
        <v>2711</v>
      </c>
      <c r="I114" s="361">
        <v>374</v>
      </c>
      <c r="J114" s="349">
        <v>1389</v>
      </c>
      <c r="CE114" s="364"/>
      <c r="CF114" s="364"/>
    </row>
    <row r="115" spans="1:84" ht="12.75">
      <c r="A115" s="360">
        <v>14</v>
      </c>
      <c r="B115" s="348" t="s">
        <v>334</v>
      </c>
      <c r="C115" s="349">
        <v>4619</v>
      </c>
      <c r="D115" s="349">
        <v>4478</v>
      </c>
      <c r="E115" s="350">
        <v>0.969</v>
      </c>
      <c r="F115" s="361">
        <v>1378</v>
      </c>
      <c r="G115" s="361">
        <v>1273</v>
      </c>
      <c r="H115" s="361">
        <v>4478</v>
      </c>
      <c r="I115" s="361">
        <v>0</v>
      </c>
      <c r="J115" s="349">
        <v>0</v>
      </c>
      <c r="CE115" s="364"/>
      <c r="CF115" s="364"/>
    </row>
    <row r="116" spans="1:84" s="409" customFormat="1" ht="19.5" customHeight="1">
      <c r="A116" s="362" t="s">
        <v>903</v>
      </c>
      <c r="B116" s="363" t="s">
        <v>335</v>
      </c>
      <c r="C116" s="358">
        <v>100734</v>
      </c>
      <c r="D116" s="358">
        <v>88676</v>
      </c>
      <c r="E116" s="359">
        <v>0.8802986082156968</v>
      </c>
      <c r="F116" s="358">
        <v>22065</v>
      </c>
      <c r="G116" s="358">
        <v>18699</v>
      </c>
      <c r="H116" s="358">
        <v>74553</v>
      </c>
      <c r="I116" s="358">
        <v>3874</v>
      </c>
      <c r="J116" s="358">
        <v>14084</v>
      </c>
      <c r="CE116" s="410"/>
      <c r="CF116" s="410"/>
    </row>
    <row r="117" spans="1:10" ht="12.75">
      <c r="A117" s="360">
        <v>1</v>
      </c>
      <c r="B117" s="348" t="s">
        <v>1019</v>
      </c>
      <c r="C117" s="349">
        <v>16362</v>
      </c>
      <c r="D117" s="349">
        <v>15902</v>
      </c>
      <c r="E117" s="350">
        <v>0.972</v>
      </c>
      <c r="F117" s="349">
        <v>1873</v>
      </c>
      <c r="G117" s="349">
        <v>1503</v>
      </c>
      <c r="H117" s="349">
        <v>5728</v>
      </c>
      <c r="I117" s="349">
        <v>2811</v>
      </c>
      <c r="J117" s="349">
        <v>10174</v>
      </c>
    </row>
    <row r="118" spans="1:84" ht="12.75">
      <c r="A118" s="360">
        <v>2</v>
      </c>
      <c r="B118" s="348" t="s">
        <v>336</v>
      </c>
      <c r="C118" s="349">
        <v>6166</v>
      </c>
      <c r="D118" s="349">
        <v>5165</v>
      </c>
      <c r="E118" s="350">
        <v>0.838</v>
      </c>
      <c r="F118" s="349">
        <v>1448</v>
      </c>
      <c r="G118" s="349">
        <v>1213</v>
      </c>
      <c r="H118" s="349">
        <v>5122</v>
      </c>
      <c r="I118" s="349">
        <v>16</v>
      </c>
      <c r="J118" s="349">
        <v>4</v>
      </c>
      <c r="CF118" s="413"/>
    </row>
    <row r="119" spans="1:84" ht="12.75">
      <c r="A119" s="360">
        <v>3</v>
      </c>
      <c r="B119" s="348" t="s">
        <v>337</v>
      </c>
      <c r="C119" s="349">
        <v>3257</v>
      </c>
      <c r="D119" s="349">
        <v>2727</v>
      </c>
      <c r="E119" s="350">
        <v>0.837</v>
      </c>
      <c r="F119" s="361">
        <v>855</v>
      </c>
      <c r="G119" s="361">
        <v>740</v>
      </c>
      <c r="H119" s="361">
        <v>2727</v>
      </c>
      <c r="I119" s="361">
        <v>0</v>
      </c>
      <c r="J119" s="349">
        <v>0</v>
      </c>
      <c r="CF119" s="413"/>
    </row>
    <row r="120" spans="1:10" ht="12.75">
      <c r="A120" s="360">
        <v>4</v>
      </c>
      <c r="B120" s="348" t="s">
        <v>338</v>
      </c>
      <c r="C120" s="349">
        <v>3512</v>
      </c>
      <c r="D120" s="349">
        <v>3124</v>
      </c>
      <c r="E120" s="350">
        <v>0.89</v>
      </c>
      <c r="F120" s="361">
        <v>852</v>
      </c>
      <c r="G120" s="361">
        <v>757</v>
      </c>
      <c r="H120" s="361">
        <v>3124</v>
      </c>
      <c r="I120" s="361">
        <v>0</v>
      </c>
      <c r="J120" s="349">
        <v>0</v>
      </c>
    </row>
    <row r="121" spans="1:10" ht="12.75">
      <c r="A121" s="360">
        <v>5</v>
      </c>
      <c r="B121" s="348" t="s">
        <v>339</v>
      </c>
      <c r="C121" s="349">
        <v>3561</v>
      </c>
      <c r="D121" s="349">
        <v>2846</v>
      </c>
      <c r="E121" s="350">
        <v>0.799</v>
      </c>
      <c r="F121" s="361">
        <v>787</v>
      </c>
      <c r="G121" s="361">
        <v>671</v>
      </c>
      <c r="H121" s="361">
        <v>2846</v>
      </c>
      <c r="I121" s="361">
        <v>0</v>
      </c>
      <c r="J121" s="349">
        <v>0</v>
      </c>
    </row>
    <row r="122" spans="1:10" ht="12.75">
      <c r="A122" s="360">
        <v>6</v>
      </c>
      <c r="B122" s="348" t="s">
        <v>340</v>
      </c>
      <c r="C122" s="349">
        <v>3977</v>
      </c>
      <c r="D122" s="349">
        <v>3328</v>
      </c>
      <c r="E122" s="350">
        <v>0.837</v>
      </c>
      <c r="F122" s="361">
        <v>871</v>
      </c>
      <c r="G122" s="361">
        <v>676</v>
      </c>
      <c r="H122" s="361">
        <v>2867</v>
      </c>
      <c r="I122" s="361">
        <v>107</v>
      </c>
      <c r="J122" s="349">
        <v>461</v>
      </c>
    </row>
    <row r="123" spans="1:10" ht="12.75">
      <c r="A123" s="360">
        <v>7</v>
      </c>
      <c r="B123" s="348" t="s">
        <v>341</v>
      </c>
      <c r="C123" s="349">
        <v>3679</v>
      </c>
      <c r="D123" s="349">
        <v>3246</v>
      </c>
      <c r="E123" s="350">
        <v>0.882</v>
      </c>
      <c r="F123" s="361">
        <v>924</v>
      </c>
      <c r="G123" s="361">
        <v>815</v>
      </c>
      <c r="H123" s="361">
        <v>3246</v>
      </c>
      <c r="I123" s="361">
        <v>0</v>
      </c>
      <c r="J123" s="349">
        <v>0</v>
      </c>
    </row>
    <row r="124" spans="1:10" ht="12.75">
      <c r="A124" s="360">
        <v>8</v>
      </c>
      <c r="B124" s="348" t="s">
        <v>342</v>
      </c>
      <c r="C124" s="349">
        <v>3406</v>
      </c>
      <c r="D124" s="349">
        <v>2856</v>
      </c>
      <c r="E124" s="350">
        <v>0.839</v>
      </c>
      <c r="F124" s="361">
        <v>969</v>
      </c>
      <c r="G124" s="361">
        <v>794</v>
      </c>
      <c r="H124" s="361">
        <v>2856</v>
      </c>
      <c r="I124" s="361">
        <v>0</v>
      </c>
      <c r="J124" s="349">
        <v>0</v>
      </c>
    </row>
    <row r="125" spans="1:10" ht="12.75">
      <c r="A125" s="360">
        <v>9</v>
      </c>
      <c r="B125" s="348" t="s">
        <v>343</v>
      </c>
      <c r="C125" s="349">
        <v>8010</v>
      </c>
      <c r="D125" s="349">
        <v>7434</v>
      </c>
      <c r="E125" s="350">
        <v>0.928</v>
      </c>
      <c r="F125" s="361">
        <v>2188</v>
      </c>
      <c r="G125" s="361">
        <v>2041</v>
      </c>
      <c r="H125" s="361">
        <v>7209</v>
      </c>
      <c r="I125" s="361">
        <v>57</v>
      </c>
      <c r="J125" s="349">
        <v>225</v>
      </c>
    </row>
    <row r="126" spans="1:10" ht="12.75">
      <c r="A126" s="360">
        <v>10</v>
      </c>
      <c r="B126" s="348" t="s">
        <v>344</v>
      </c>
      <c r="C126" s="349">
        <v>5048</v>
      </c>
      <c r="D126" s="349">
        <v>4374</v>
      </c>
      <c r="E126" s="350">
        <v>0.866</v>
      </c>
      <c r="F126" s="361">
        <v>1158</v>
      </c>
      <c r="G126" s="361">
        <v>999</v>
      </c>
      <c r="H126" s="361">
        <v>4374</v>
      </c>
      <c r="I126" s="361">
        <v>0</v>
      </c>
      <c r="J126" s="349">
        <v>0</v>
      </c>
    </row>
    <row r="127" spans="1:10" ht="12.75">
      <c r="A127" s="360">
        <v>11</v>
      </c>
      <c r="B127" s="348" t="s">
        <v>345</v>
      </c>
      <c r="C127" s="349">
        <v>4074</v>
      </c>
      <c r="D127" s="349">
        <v>3324</v>
      </c>
      <c r="E127" s="350">
        <v>0.816</v>
      </c>
      <c r="F127" s="361">
        <v>909</v>
      </c>
      <c r="G127" s="361">
        <v>710</v>
      </c>
      <c r="H127" s="361">
        <v>2941</v>
      </c>
      <c r="I127" s="361">
        <v>105</v>
      </c>
      <c r="J127" s="349">
        <v>383</v>
      </c>
    </row>
    <row r="128" spans="1:10" ht="12.75">
      <c r="A128" s="360">
        <v>12</v>
      </c>
      <c r="B128" s="348" t="s">
        <v>955</v>
      </c>
      <c r="C128" s="349">
        <v>8788</v>
      </c>
      <c r="D128" s="349">
        <v>7696</v>
      </c>
      <c r="E128" s="350">
        <v>0.876</v>
      </c>
      <c r="F128" s="361">
        <v>1766</v>
      </c>
      <c r="G128" s="361">
        <v>1457</v>
      </c>
      <c r="H128" s="361">
        <v>5706</v>
      </c>
      <c r="I128" s="361">
        <v>565</v>
      </c>
      <c r="J128" s="349">
        <v>1990</v>
      </c>
    </row>
    <row r="129" spans="1:10" ht="12.75">
      <c r="A129" s="360">
        <v>13</v>
      </c>
      <c r="B129" s="348" t="s">
        <v>346</v>
      </c>
      <c r="C129" s="349">
        <v>5153</v>
      </c>
      <c r="D129" s="349">
        <v>4226</v>
      </c>
      <c r="E129" s="350">
        <v>0.82</v>
      </c>
      <c r="F129" s="361">
        <v>1210</v>
      </c>
      <c r="G129" s="361">
        <v>993</v>
      </c>
      <c r="H129" s="361">
        <v>4226</v>
      </c>
      <c r="I129" s="361">
        <v>0</v>
      </c>
      <c r="J129" s="349">
        <v>0</v>
      </c>
    </row>
    <row r="130" spans="1:10" ht="12.75">
      <c r="A130" s="360">
        <v>14</v>
      </c>
      <c r="B130" s="348" t="s">
        <v>347</v>
      </c>
      <c r="C130" s="349">
        <v>4731</v>
      </c>
      <c r="D130" s="349">
        <v>3934</v>
      </c>
      <c r="E130" s="350">
        <v>0.832</v>
      </c>
      <c r="F130" s="349">
        <v>1254</v>
      </c>
      <c r="G130" s="349">
        <v>995</v>
      </c>
      <c r="H130" s="349">
        <v>3934</v>
      </c>
      <c r="I130" s="349">
        <v>0</v>
      </c>
      <c r="J130" s="349">
        <v>0</v>
      </c>
    </row>
    <row r="131" spans="1:10" ht="12.75">
      <c r="A131" s="360">
        <v>15</v>
      </c>
      <c r="B131" s="348" t="s">
        <v>348</v>
      </c>
      <c r="C131" s="349">
        <v>4051</v>
      </c>
      <c r="D131" s="349">
        <v>3609</v>
      </c>
      <c r="E131" s="350">
        <v>0.891</v>
      </c>
      <c r="F131" s="361">
        <v>1041</v>
      </c>
      <c r="G131" s="361">
        <v>921</v>
      </c>
      <c r="H131" s="361">
        <v>3609</v>
      </c>
      <c r="I131" s="361">
        <v>0</v>
      </c>
      <c r="J131" s="349">
        <v>0</v>
      </c>
    </row>
    <row r="132" spans="1:10" ht="12.75">
      <c r="A132" s="360">
        <v>16</v>
      </c>
      <c r="B132" s="348" t="s">
        <v>349</v>
      </c>
      <c r="C132" s="349">
        <v>4807</v>
      </c>
      <c r="D132" s="349">
        <v>4388</v>
      </c>
      <c r="E132" s="350">
        <v>0.913</v>
      </c>
      <c r="F132" s="361">
        <v>1128</v>
      </c>
      <c r="G132" s="361">
        <v>1023</v>
      </c>
      <c r="H132" s="361">
        <v>4388</v>
      </c>
      <c r="I132" s="361">
        <v>0</v>
      </c>
      <c r="J132" s="349">
        <v>0</v>
      </c>
    </row>
    <row r="133" spans="1:10" ht="12.75">
      <c r="A133" s="360">
        <v>17</v>
      </c>
      <c r="B133" s="348" t="s">
        <v>350</v>
      </c>
      <c r="C133" s="349">
        <v>3812</v>
      </c>
      <c r="D133" s="349">
        <v>3372</v>
      </c>
      <c r="E133" s="350">
        <v>0.885</v>
      </c>
      <c r="F133" s="361">
        <v>890</v>
      </c>
      <c r="G133" s="361">
        <v>773</v>
      </c>
      <c r="H133" s="361">
        <v>2986</v>
      </c>
      <c r="I133" s="361">
        <v>106</v>
      </c>
      <c r="J133" s="349">
        <v>386</v>
      </c>
    </row>
    <row r="134" spans="1:10" ht="12.75">
      <c r="A134" s="360">
        <v>18</v>
      </c>
      <c r="B134" s="348" t="s">
        <v>351</v>
      </c>
      <c r="C134" s="349">
        <v>3977</v>
      </c>
      <c r="D134" s="349">
        <v>3328</v>
      </c>
      <c r="E134" s="350">
        <v>0.837</v>
      </c>
      <c r="F134" s="361">
        <v>871</v>
      </c>
      <c r="G134" s="361">
        <v>676</v>
      </c>
      <c r="H134" s="361">
        <v>2867</v>
      </c>
      <c r="I134" s="361">
        <v>107</v>
      </c>
      <c r="J134" s="349">
        <v>461</v>
      </c>
    </row>
    <row r="135" spans="1:10" ht="12.75">
      <c r="A135" s="360">
        <v>19</v>
      </c>
      <c r="B135" s="348" t="s">
        <v>352</v>
      </c>
      <c r="C135" s="349">
        <v>4363</v>
      </c>
      <c r="D135" s="349">
        <v>3797</v>
      </c>
      <c r="E135" s="350">
        <v>0.87</v>
      </c>
      <c r="F135" s="361">
        <v>1071</v>
      </c>
      <c r="G135" s="361">
        <v>942</v>
      </c>
      <c r="H135" s="361">
        <v>3797</v>
      </c>
      <c r="I135" s="361">
        <v>0</v>
      </c>
      <c r="J135" s="349">
        <v>0</v>
      </c>
    </row>
    <row r="136" spans="1:84" s="409" customFormat="1" ht="19.5" customHeight="1">
      <c r="A136" s="362" t="s">
        <v>353</v>
      </c>
      <c r="B136" s="363" t="s">
        <v>354</v>
      </c>
      <c r="C136" s="358">
        <v>80829</v>
      </c>
      <c r="D136" s="358">
        <v>70935</v>
      </c>
      <c r="E136" s="359">
        <v>0.8775934379987381</v>
      </c>
      <c r="F136" s="358">
        <v>18020</v>
      </c>
      <c r="G136" s="358">
        <v>14546</v>
      </c>
      <c r="H136" s="358">
        <v>60911</v>
      </c>
      <c r="I136" s="358">
        <v>1808</v>
      </c>
      <c r="J136" s="358">
        <v>6815</v>
      </c>
      <c r="CE136" s="410"/>
      <c r="CF136" s="410"/>
    </row>
    <row r="137" spans="1:10" ht="12.75">
      <c r="A137" s="360">
        <v>1</v>
      </c>
      <c r="B137" s="348" t="s">
        <v>355</v>
      </c>
      <c r="C137" s="349">
        <v>4028</v>
      </c>
      <c r="D137" s="349">
        <v>3325</v>
      </c>
      <c r="E137" s="350">
        <v>0.825</v>
      </c>
      <c r="F137" s="361">
        <v>1118</v>
      </c>
      <c r="G137" s="361">
        <v>933</v>
      </c>
      <c r="H137" s="361">
        <v>3313</v>
      </c>
      <c r="I137" s="361">
        <v>3</v>
      </c>
      <c r="J137" s="349">
        <v>12</v>
      </c>
    </row>
    <row r="138" spans="1:10" ht="12.75">
      <c r="A138" s="360">
        <v>2</v>
      </c>
      <c r="B138" s="348" t="s">
        <v>1020</v>
      </c>
      <c r="C138" s="349">
        <v>6425</v>
      </c>
      <c r="D138" s="349">
        <v>6398</v>
      </c>
      <c r="E138" s="350">
        <v>0.996</v>
      </c>
      <c r="F138" s="349">
        <v>1399</v>
      </c>
      <c r="G138" s="349">
        <v>1362</v>
      </c>
      <c r="H138" s="349">
        <v>5673</v>
      </c>
      <c r="I138" s="349">
        <v>184</v>
      </c>
      <c r="J138" s="349">
        <v>725</v>
      </c>
    </row>
    <row r="139" spans="1:10" ht="12.75">
      <c r="A139" s="360">
        <v>3</v>
      </c>
      <c r="B139" s="348" t="s">
        <v>1021</v>
      </c>
      <c r="C139" s="349">
        <v>2364</v>
      </c>
      <c r="D139" s="349">
        <v>1800</v>
      </c>
      <c r="E139" s="350">
        <v>0.761</v>
      </c>
      <c r="F139" s="361">
        <v>599</v>
      </c>
      <c r="G139" s="361">
        <v>459</v>
      </c>
      <c r="H139" s="361">
        <v>1800</v>
      </c>
      <c r="I139" s="361">
        <v>0</v>
      </c>
      <c r="J139" s="349">
        <v>0</v>
      </c>
    </row>
    <row r="140" spans="1:10" ht="12.75">
      <c r="A140" s="360">
        <v>4</v>
      </c>
      <c r="B140" s="348" t="s">
        <v>1022</v>
      </c>
      <c r="C140" s="349">
        <v>4745</v>
      </c>
      <c r="D140" s="349">
        <v>4367</v>
      </c>
      <c r="E140" s="350">
        <v>0.92</v>
      </c>
      <c r="F140" s="361">
        <v>1056</v>
      </c>
      <c r="G140" s="361">
        <v>984</v>
      </c>
      <c r="H140" s="361">
        <v>4350</v>
      </c>
      <c r="I140" s="361">
        <v>5</v>
      </c>
      <c r="J140" s="349">
        <v>17</v>
      </c>
    </row>
    <row r="141" spans="1:10" ht="12.75">
      <c r="A141" s="360">
        <v>5</v>
      </c>
      <c r="B141" s="348" t="s">
        <v>356</v>
      </c>
      <c r="C141" s="349">
        <v>4362</v>
      </c>
      <c r="D141" s="349">
        <v>3836</v>
      </c>
      <c r="E141" s="350">
        <v>0.879</v>
      </c>
      <c r="F141" s="361">
        <v>995</v>
      </c>
      <c r="G141" s="361">
        <v>867</v>
      </c>
      <c r="H141" s="361">
        <v>3836</v>
      </c>
      <c r="I141" s="361">
        <v>6</v>
      </c>
      <c r="J141" s="349">
        <v>0</v>
      </c>
    </row>
    <row r="142" spans="1:10" ht="12.75">
      <c r="A142" s="360">
        <v>6</v>
      </c>
      <c r="B142" s="348" t="s">
        <v>357</v>
      </c>
      <c r="C142" s="349">
        <v>3767</v>
      </c>
      <c r="D142" s="349">
        <v>3450</v>
      </c>
      <c r="E142" s="350">
        <v>0.916</v>
      </c>
      <c r="F142" s="361">
        <v>878</v>
      </c>
      <c r="G142" s="361">
        <v>788</v>
      </c>
      <c r="H142" s="361">
        <v>3309</v>
      </c>
      <c r="I142" s="361">
        <v>50</v>
      </c>
      <c r="J142" s="349">
        <v>141</v>
      </c>
    </row>
    <row r="143" spans="1:10" ht="12.75">
      <c r="A143" s="360">
        <v>7</v>
      </c>
      <c r="B143" s="348" t="s">
        <v>358</v>
      </c>
      <c r="C143" s="349">
        <v>1972</v>
      </c>
      <c r="D143" s="349">
        <v>1541</v>
      </c>
      <c r="E143" s="350">
        <v>0.781</v>
      </c>
      <c r="F143" s="361">
        <v>463</v>
      </c>
      <c r="G143" s="361">
        <v>351</v>
      </c>
      <c r="H143" s="361">
        <v>1541</v>
      </c>
      <c r="I143" s="361">
        <v>0</v>
      </c>
      <c r="J143" s="349">
        <v>0</v>
      </c>
    </row>
    <row r="144" spans="1:10" ht="12.75">
      <c r="A144" s="360">
        <v>8</v>
      </c>
      <c r="B144" s="348" t="s">
        <v>359</v>
      </c>
      <c r="C144" s="349">
        <v>3957</v>
      </c>
      <c r="D144" s="349">
        <v>2661</v>
      </c>
      <c r="E144" s="350">
        <v>0.672</v>
      </c>
      <c r="F144" s="361">
        <v>863</v>
      </c>
      <c r="G144" s="361">
        <v>458</v>
      </c>
      <c r="H144" s="361">
        <v>2399</v>
      </c>
      <c r="I144" s="361">
        <v>0</v>
      </c>
      <c r="J144" s="349">
        <v>0</v>
      </c>
    </row>
    <row r="145" spans="1:10" ht="12.75">
      <c r="A145" s="360">
        <v>9</v>
      </c>
      <c r="B145" s="348" t="s">
        <v>360</v>
      </c>
      <c r="C145" s="349">
        <v>6801</v>
      </c>
      <c r="D145" s="349">
        <v>6151</v>
      </c>
      <c r="E145" s="350">
        <v>0.904</v>
      </c>
      <c r="F145" s="361">
        <v>976</v>
      </c>
      <c r="G145" s="361">
        <v>687</v>
      </c>
      <c r="H145" s="361">
        <v>2751</v>
      </c>
      <c r="I145" s="361">
        <v>861</v>
      </c>
      <c r="J145" s="349">
        <v>3400</v>
      </c>
    </row>
    <row r="146" spans="1:10" ht="12.75">
      <c r="A146" s="360">
        <v>10</v>
      </c>
      <c r="B146" s="348" t="s">
        <v>361</v>
      </c>
      <c r="C146" s="349">
        <v>2561</v>
      </c>
      <c r="D146" s="349">
        <v>2255</v>
      </c>
      <c r="E146" s="350">
        <v>0.881</v>
      </c>
      <c r="F146" s="361">
        <v>665</v>
      </c>
      <c r="G146" s="361">
        <v>586</v>
      </c>
      <c r="H146" s="361">
        <v>2255</v>
      </c>
      <c r="I146" s="361">
        <v>0</v>
      </c>
      <c r="J146" s="349">
        <v>0</v>
      </c>
    </row>
    <row r="147" spans="1:10" ht="12.75">
      <c r="A147" s="360">
        <v>11</v>
      </c>
      <c r="B147" s="348" t="s">
        <v>362</v>
      </c>
      <c r="C147" s="349">
        <v>3947</v>
      </c>
      <c r="D147" s="349">
        <v>3295</v>
      </c>
      <c r="E147" s="350">
        <v>0.835</v>
      </c>
      <c r="F147" s="361">
        <v>563</v>
      </c>
      <c r="G147" s="361">
        <v>431</v>
      </c>
      <c r="H147" s="361">
        <v>1968</v>
      </c>
      <c r="I147" s="361">
        <v>292</v>
      </c>
      <c r="J147" s="349">
        <v>1327</v>
      </c>
    </row>
    <row r="148" spans="1:10" ht="12.75">
      <c r="A148" s="360">
        <v>12</v>
      </c>
      <c r="B148" s="348" t="s">
        <v>1023</v>
      </c>
      <c r="C148" s="349">
        <v>2589</v>
      </c>
      <c r="D148" s="349">
        <v>2353</v>
      </c>
      <c r="E148" s="350">
        <v>0.909</v>
      </c>
      <c r="F148" s="361">
        <v>607</v>
      </c>
      <c r="G148" s="361">
        <v>548</v>
      </c>
      <c r="H148" s="361">
        <v>2353</v>
      </c>
      <c r="I148" s="361">
        <v>0</v>
      </c>
      <c r="J148" s="349">
        <v>0</v>
      </c>
    </row>
    <row r="149" spans="1:10" ht="12.75">
      <c r="A149" s="360">
        <v>13</v>
      </c>
      <c r="B149" s="348" t="s">
        <v>1024</v>
      </c>
      <c r="C149" s="349">
        <v>4714</v>
      </c>
      <c r="D149" s="349">
        <v>4390</v>
      </c>
      <c r="E149" s="350">
        <v>0.931</v>
      </c>
      <c r="F149" s="361">
        <v>998</v>
      </c>
      <c r="G149" s="361">
        <v>321</v>
      </c>
      <c r="H149" s="361">
        <v>1443</v>
      </c>
      <c r="I149" s="361">
        <v>6</v>
      </c>
      <c r="J149" s="349">
        <v>0</v>
      </c>
    </row>
    <row r="150" spans="1:10" ht="12.75">
      <c r="A150" s="360">
        <v>14</v>
      </c>
      <c r="B150" s="348" t="s">
        <v>363</v>
      </c>
      <c r="C150" s="349">
        <v>5638</v>
      </c>
      <c r="D150" s="349">
        <v>5442</v>
      </c>
      <c r="E150" s="350">
        <v>0.965</v>
      </c>
      <c r="F150" s="349">
        <v>1390</v>
      </c>
      <c r="G150" s="349">
        <v>1330</v>
      </c>
      <c r="H150" s="349">
        <v>5442</v>
      </c>
      <c r="I150" s="349">
        <v>6</v>
      </c>
      <c r="J150" s="349">
        <v>0</v>
      </c>
    </row>
    <row r="151" spans="1:10" ht="12.75">
      <c r="A151" s="360">
        <v>15</v>
      </c>
      <c r="B151" s="348" t="s">
        <v>364</v>
      </c>
      <c r="C151" s="349">
        <v>3761</v>
      </c>
      <c r="D151" s="349">
        <v>2947</v>
      </c>
      <c r="E151" s="350">
        <v>0.784</v>
      </c>
      <c r="F151" s="349">
        <v>855</v>
      </c>
      <c r="G151" s="349">
        <v>669</v>
      </c>
      <c r="H151" s="349">
        <v>2942</v>
      </c>
      <c r="I151" s="349">
        <v>1</v>
      </c>
      <c r="J151" s="349">
        <v>5</v>
      </c>
    </row>
    <row r="152" spans="1:10" ht="12.75">
      <c r="A152" s="360">
        <v>16</v>
      </c>
      <c r="B152" s="348" t="s">
        <v>365</v>
      </c>
      <c r="C152" s="349">
        <v>4377</v>
      </c>
      <c r="D152" s="349">
        <v>4215</v>
      </c>
      <c r="E152" s="350">
        <v>0.963</v>
      </c>
      <c r="F152" s="349">
        <v>1041</v>
      </c>
      <c r="G152" s="349">
        <v>1016</v>
      </c>
      <c r="H152" s="349">
        <v>4215</v>
      </c>
      <c r="I152" s="349">
        <v>0</v>
      </c>
      <c r="J152" s="349">
        <v>0</v>
      </c>
    </row>
    <row r="153" spans="1:10" ht="12.75">
      <c r="A153" s="360">
        <v>17</v>
      </c>
      <c r="B153" s="348" t="s">
        <v>366</v>
      </c>
      <c r="C153" s="349">
        <v>3481</v>
      </c>
      <c r="D153" s="349">
        <v>2479</v>
      </c>
      <c r="E153" s="350">
        <v>0.712</v>
      </c>
      <c r="F153" s="349">
        <v>884</v>
      </c>
      <c r="G153" s="349">
        <v>647</v>
      </c>
      <c r="H153" s="349">
        <v>2479</v>
      </c>
      <c r="I153" s="349">
        <v>0</v>
      </c>
      <c r="J153" s="349">
        <v>0</v>
      </c>
    </row>
    <row r="154" spans="1:10" ht="12.75">
      <c r="A154" s="360">
        <v>18</v>
      </c>
      <c r="B154" s="348" t="s">
        <v>367</v>
      </c>
      <c r="C154" s="349">
        <v>4396</v>
      </c>
      <c r="D154" s="349">
        <v>3938</v>
      </c>
      <c r="E154" s="350">
        <v>0.896</v>
      </c>
      <c r="F154" s="349">
        <v>964</v>
      </c>
      <c r="G154" s="349">
        <v>885</v>
      </c>
      <c r="H154" s="349">
        <v>3938</v>
      </c>
      <c r="I154" s="349">
        <v>27</v>
      </c>
      <c r="J154" s="349">
        <v>0</v>
      </c>
    </row>
    <row r="155" spans="1:10" ht="12.75">
      <c r="A155" s="360">
        <v>19</v>
      </c>
      <c r="B155" s="348" t="s">
        <v>205</v>
      </c>
      <c r="C155" s="349">
        <v>2404</v>
      </c>
      <c r="D155" s="349">
        <v>2325</v>
      </c>
      <c r="E155" s="350">
        <v>0.967</v>
      </c>
      <c r="F155" s="361">
        <v>674</v>
      </c>
      <c r="G155" s="361">
        <v>342</v>
      </c>
      <c r="H155" s="361">
        <v>1137</v>
      </c>
      <c r="I155" s="361">
        <v>367</v>
      </c>
      <c r="J155" s="349">
        <v>1188</v>
      </c>
    </row>
    <row r="156" spans="1:10" ht="12.75">
      <c r="A156" s="360">
        <v>20</v>
      </c>
      <c r="B156" s="348" t="s">
        <v>368</v>
      </c>
      <c r="C156" s="349">
        <v>4540</v>
      </c>
      <c r="D156" s="349">
        <v>3767</v>
      </c>
      <c r="E156" s="350">
        <v>0.83</v>
      </c>
      <c r="F156" s="361">
        <v>1032</v>
      </c>
      <c r="G156" s="361">
        <v>882</v>
      </c>
      <c r="H156" s="361">
        <v>3767</v>
      </c>
      <c r="I156" s="361">
        <v>0</v>
      </c>
      <c r="J156" s="349">
        <v>0</v>
      </c>
    </row>
    <row r="157" spans="1:84" s="409" customFormat="1" ht="19.5" customHeight="1">
      <c r="A157" s="362" t="s">
        <v>369</v>
      </c>
      <c r="B157" s="363" t="s">
        <v>370</v>
      </c>
      <c r="C157" s="358">
        <v>77679</v>
      </c>
      <c r="D157" s="358">
        <v>56935</v>
      </c>
      <c r="E157" s="359">
        <v>0.7329522779644434</v>
      </c>
      <c r="F157" s="358">
        <v>13805</v>
      </c>
      <c r="G157" s="358">
        <v>10131</v>
      </c>
      <c r="H157" s="358">
        <v>45748</v>
      </c>
      <c r="I157" s="358">
        <v>2521</v>
      </c>
      <c r="J157" s="358">
        <v>11178</v>
      </c>
      <c r="CE157" s="410"/>
      <c r="CF157" s="410"/>
    </row>
    <row r="158" spans="1:10" ht="12.75">
      <c r="A158" s="360">
        <v>1</v>
      </c>
      <c r="B158" s="348" t="s">
        <v>371</v>
      </c>
      <c r="C158" s="349">
        <v>3353</v>
      </c>
      <c r="D158" s="349">
        <v>2518</v>
      </c>
      <c r="E158" s="350">
        <v>0.751</v>
      </c>
      <c r="F158" s="349">
        <v>598</v>
      </c>
      <c r="G158" s="349">
        <v>439</v>
      </c>
      <c r="H158" s="349">
        <v>2247</v>
      </c>
      <c r="I158" s="349">
        <v>55</v>
      </c>
      <c r="J158" s="349">
        <v>271</v>
      </c>
    </row>
    <row r="159" spans="1:10" ht="12.75">
      <c r="A159" s="360">
        <v>2</v>
      </c>
      <c r="B159" s="348" t="s">
        <v>372</v>
      </c>
      <c r="C159" s="349">
        <v>3650</v>
      </c>
      <c r="D159" s="349">
        <v>2173</v>
      </c>
      <c r="E159" s="350">
        <v>0.595</v>
      </c>
      <c r="F159" s="361">
        <v>475</v>
      </c>
      <c r="G159" s="361">
        <v>355</v>
      </c>
      <c r="H159" s="361">
        <v>1679</v>
      </c>
      <c r="I159" s="361">
        <v>129</v>
      </c>
      <c r="J159" s="349">
        <v>494</v>
      </c>
    </row>
    <row r="160" spans="1:10" ht="12.75">
      <c r="A160" s="360">
        <v>3</v>
      </c>
      <c r="B160" s="348" t="s">
        <v>373</v>
      </c>
      <c r="C160" s="349">
        <v>6225</v>
      </c>
      <c r="D160" s="349">
        <v>3652</v>
      </c>
      <c r="E160" s="350">
        <v>0.587</v>
      </c>
      <c r="F160" s="361">
        <v>854</v>
      </c>
      <c r="G160" s="361">
        <v>590</v>
      </c>
      <c r="H160" s="361">
        <v>3241</v>
      </c>
      <c r="I160" s="361">
        <v>91</v>
      </c>
      <c r="J160" s="349">
        <v>411</v>
      </c>
    </row>
    <row r="161" spans="1:10" ht="12.75">
      <c r="A161" s="360">
        <v>4</v>
      </c>
      <c r="B161" s="348" t="s">
        <v>374</v>
      </c>
      <c r="C161" s="349">
        <v>3245</v>
      </c>
      <c r="D161" s="349">
        <v>2928</v>
      </c>
      <c r="E161" s="350">
        <v>0.902</v>
      </c>
      <c r="F161" s="361">
        <v>622</v>
      </c>
      <c r="G161" s="361">
        <v>582</v>
      </c>
      <c r="H161" s="361">
        <v>2683</v>
      </c>
      <c r="I161" s="361">
        <v>54</v>
      </c>
      <c r="J161" s="349">
        <v>245</v>
      </c>
    </row>
    <row r="162" spans="1:10" ht="12.75">
      <c r="A162" s="360">
        <v>5</v>
      </c>
      <c r="B162" s="348" t="s">
        <v>375</v>
      </c>
      <c r="C162" s="349">
        <v>3438</v>
      </c>
      <c r="D162" s="349">
        <v>2839</v>
      </c>
      <c r="E162" s="350">
        <v>0.826</v>
      </c>
      <c r="F162" s="361">
        <v>656</v>
      </c>
      <c r="G162" s="361">
        <v>538</v>
      </c>
      <c r="H162" s="361">
        <v>2602</v>
      </c>
      <c r="I162" s="361">
        <v>55</v>
      </c>
      <c r="J162" s="349">
        <v>237</v>
      </c>
    </row>
    <row r="163" spans="1:10" ht="12.75">
      <c r="A163" s="360">
        <v>6</v>
      </c>
      <c r="B163" s="348" t="s">
        <v>376</v>
      </c>
      <c r="C163" s="349">
        <v>5748</v>
      </c>
      <c r="D163" s="349">
        <v>4670</v>
      </c>
      <c r="E163" s="350">
        <v>0.812</v>
      </c>
      <c r="F163" s="361">
        <v>1480</v>
      </c>
      <c r="G163" s="361">
        <v>1234</v>
      </c>
      <c r="H163" s="361">
        <v>4667</v>
      </c>
      <c r="I163" s="361">
        <v>0</v>
      </c>
      <c r="J163" s="349">
        <v>0</v>
      </c>
    </row>
    <row r="164" spans="1:10" ht="12.75">
      <c r="A164" s="360">
        <v>7</v>
      </c>
      <c r="B164" s="348" t="s">
        <v>377</v>
      </c>
      <c r="C164" s="349">
        <v>7892</v>
      </c>
      <c r="D164" s="349">
        <v>5296</v>
      </c>
      <c r="E164" s="350">
        <v>0.671</v>
      </c>
      <c r="F164" s="361">
        <v>1654</v>
      </c>
      <c r="G164" s="361">
        <v>1210</v>
      </c>
      <c r="H164" s="361">
        <v>5296</v>
      </c>
      <c r="I164" s="361">
        <v>0</v>
      </c>
      <c r="J164" s="349">
        <v>0</v>
      </c>
    </row>
    <row r="165" spans="1:10" ht="12.75">
      <c r="A165" s="360">
        <v>8</v>
      </c>
      <c r="B165" s="348" t="s">
        <v>378</v>
      </c>
      <c r="C165" s="349">
        <v>2786</v>
      </c>
      <c r="D165" s="349">
        <v>1705</v>
      </c>
      <c r="E165" s="350">
        <v>0.612</v>
      </c>
      <c r="F165" s="361">
        <v>576</v>
      </c>
      <c r="G165" s="361">
        <v>357</v>
      </c>
      <c r="H165" s="361">
        <v>1547</v>
      </c>
      <c r="I165" s="361">
        <v>27</v>
      </c>
      <c r="J165" s="349">
        <v>158</v>
      </c>
    </row>
    <row r="166" spans="1:10" ht="12.75">
      <c r="A166" s="360">
        <v>9</v>
      </c>
      <c r="B166" s="348" t="s">
        <v>379</v>
      </c>
      <c r="C166" s="349">
        <v>4423</v>
      </c>
      <c r="D166" s="349">
        <v>3384</v>
      </c>
      <c r="E166" s="350">
        <v>0.765</v>
      </c>
      <c r="F166" s="361">
        <v>797</v>
      </c>
      <c r="G166" s="361">
        <v>644</v>
      </c>
      <c r="H166" s="361">
        <v>2914</v>
      </c>
      <c r="I166" s="361">
        <v>108</v>
      </c>
      <c r="J166" s="349">
        <v>470</v>
      </c>
    </row>
    <row r="167" spans="1:10" ht="12.75">
      <c r="A167" s="360">
        <v>10</v>
      </c>
      <c r="B167" s="348" t="s">
        <v>380</v>
      </c>
      <c r="C167" s="349">
        <v>4159</v>
      </c>
      <c r="D167" s="349">
        <v>2404</v>
      </c>
      <c r="E167" s="350">
        <v>0.578</v>
      </c>
      <c r="F167" s="361">
        <v>432</v>
      </c>
      <c r="G167" s="361">
        <v>162</v>
      </c>
      <c r="H167" s="361">
        <v>798</v>
      </c>
      <c r="I167" s="361">
        <v>340</v>
      </c>
      <c r="J167" s="349">
        <v>1606</v>
      </c>
    </row>
    <row r="168" spans="1:10" ht="12.75">
      <c r="A168" s="360">
        <v>11</v>
      </c>
      <c r="B168" s="348" t="s">
        <v>381</v>
      </c>
      <c r="C168" s="349">
        <v>3913</v>
      </c>
      <c r="D168" s="349">
        <v>3060</v>
      </c>
      <c r="E168" s="350">
        <v>0.782</v>
      </c>
      <c r="F168" s="361">
        <v>658</v>
      </c>
      <c r="G168" s="361">
        <v>471</v>
      </c>
      <c r="H168" s="361">
        <v>1989</v>
      </c>
      <c r="I168" s="361">
        <v>250</v>
      </c>
      <c r="J168" s="349">
        <v>1071</v>
      </c>
    </row>
    <row r="169" spans="1:10" ht="12.75">
      <c r="A169" s="360">
        <v>12</v>
      </c>
      <c r="B169" s="348" t="s">
        <v>382</v>
      </c>
      <c r="C169" s="349">
        <v>7830</v>
      </c>
      <c r="D169" s="349">
        <v>5459</v>
      </c>
      <c r="E169" s="350">
        <v>0.697</v>
      </c>
      <c r="F169" s="349">
        <v>1429</v>
      </c>
      <c r="G169" s="349">
        <v>848</v>
      </c>
      <c r="H169" s="349">
        <v>3536</v>
      </c>
      <c r="I169" s="349">
        <v>432</v>
      </c>
      <c r="J169" s="349">
        <v>1923</v>
      </c>
    </row>
    <row r="170" spans="1:10" ht="12.75">
      <c r="A170" s="360">
        <v>13</v>
      </c>
      <c r="B170" s="348" t="s">
        <v>383</v>
      </c>
      <c r="C170" s="349">
        <v>5788</v>
      </c>
      <c r="D170" s="349">
        <v>4968</v>
      </c>
      <c r="E170" s="350">
        <v>0.858</v>
      </c>
      <c r="F170" s="361">
        <v>697</v>
      </c>
      <c r="G170" s="361">
        <v>547</v>
      </c>
      <c r="H170" s="361">
        <v>2488</v>
      </c>
      <c r="I170" s="361">
        <v>567</v>
      </c>
      <c r="J170" s="349">
        <v>2480</v>
      </c>
    </row>
    <row r="171" spans="1:10" ht="12.75">
      <c r="A171" s="360">
        <v>14</v>
      </c>
      <c r="B171" s="348" t="s">
        <v>384</v>
      </c>
      <c r="C171" s="349">
        <v>7100</v>
      </c>
      <c r="D171" s="349">
        <v>6097</v>
      </c>
      <c r="E171" s="350">
        <v>0.859</v>
      </c>
      <c r="F171" s="349">
        <v>1561</v>
      </c>
      <c r="G171" s="349">
        <v>1367</v>
      </c>
      <c r="H171" s="349">
        <v>6097</v>
      </c>
      <c r="I171" s="349">
        <v>0</v>
      </c>
      <c r="J171" s="349">
        <v>0</v>
      </c>
    </row>
    <row r="172" spans="1:10" ht="12.75">
      <c r="A172" s="360">
        <v>15</v>
      </c>
      <c r="B172" s="348" t="s">
        <v>385</v>
      </c>
      <c r="C172" s="349">
        <v>1374</v>
      </c>
      <c r="D172" s="349">
        <v>1011</v>
      </c>
      <c r="E172" s="350">
        <v>0.736</v>
      </c>
      <c r="F172" s="361">
        <v>246</v>
      </c>
      <c r="G172" s="361">
        <v>137</v>
      </c>
      <c r="H172" s="361">
        <v>560</v>
      </c>
      <c r="I172" s="361">
        <v>84</v>
      </c>
      <c r="J172" s="349">
        <v>451</v>
      </c>
    </row>
    <row r="173" spans="1:10" ht="12.75">
      <c r="A173" s="360">
        <v>16</v>
      </c>
      <c r="B173" s="348" t="s">
        <v>386</v>
      </c>
      <c r="C173" s="349">
        <v>5611</v>
      </c>
      <c r="D173" s="349">
        <v>3670</v>
      </c>
      <c r="E173" s="350">
        <v>0.654</v>
      </c>
      <c r="F173" s="361">
        <v>1020</v>
      </c>
      <c r="G173" s="361">
        <v>603</v>
      </c>
      <c r="H173" s="361">
        <v>3173</v>
      </c>
      <c r="I173" s="361">
        <v>126</v>
      </c>
      <c r="J173" s="349">
        <v>491</v>
      </c>
    </row>
    <row r="174" spans="1:10" ht="12.75">
      <c r="A174" s="360">
        <v>17</v>
      </c>
      <c r="B174" s="348" t="s">
        <v>387</v>
      </c>
      <c r="C174" s="349">
        <v>1144</v>
      </c>
      <c r="D174" s="349">
        <v>1101</v>
      </c>
      <c r="E174" s="350">
        <v>0.962</v>
      </c>
      <c r="F174" s="361">
        <v>50</v>
      </c>
      <c r="G174" s="361">
        <v>47</v>
      </c>
      <c r="H174" s="361">
        <v>231</v>
      </c>
      <c r="I174" s="361">
        <v>203</v>
      </c>
      <c r="J174" s="349">
        <v>870</v>
      </c>
    </row>
    <row r="175" spans="1:84" s="409" customFormat="1" ht="19.5" customHeight="1">
      <c r="A175" s="362" t="s">
        <v>388</v>
      </c>
      <c r="B175" s="363" t="s">
        <v>389</v>
      </c>
      <c r="C175" s="358">
        <v>107198</v>
      </c>
      <c r="D175" s="358">
        <v>92668</v>
      </c>
      <c r="E175" s="359">
        <v>0.8644564264258662</v>
      </c>
      <c r="F175" s="358">
        <v>26688</v>
      </c>
      <c r="G175" s="358">
        <v>22533</v>
      </c>
      <c r="H175" s="358">
        <v>85133</v>
      </c>
      <c r="I175" s="358">
        <v>2269</v>
      </c>
      <c r="J175" s="358">
        <v>7535</v>
      </c>
      <c r="CE175" s="410"/>
      <c r="CF175" s="410"/>
    </row>
    <row r="176" spans="1:10" ht="12.75">
      <c r="A176" s="360">
        <v>1</v>
      </c>
      <c r="B176" s="348" t="s">
        <v>390</v>
      </c>
      <c r="C176" s="349">
        <v>7123</v>
      </c>
      <c r="D176" s="349">
        <v>7049</v>
      </c>
      <c r="E176" s="350">
        <v>0.99</v>
      </c>
      <c r="F176" s="361">
        <v>1523</v>
      </c>
      <c r="G176" s="361">
        <v>1438</v>
      </c>
      <c r="H176" s="361">
        <v>4798</v>
      </c>
      <c r="I176" s="361">
        <v>701</v>
      </c>
      <c r="J176" s="349">
        <v>2251</v>
      </c>
    </row>
    <row r="177" spans="1:10" ht="12.75">
      <c r="A177" s="360">
        <v>2</v>
      </c>
      <c r="B177" s="348" t="s">
        <v>391</v>
      </c>
      <c r="C177" s="349">
        <v>5388</v>
      </c>
      <c r="D177" s="349">
        <v>4527</v>
      </c>
      <c r="E177" s="350">
        <v>0.84</v>
      </c>
      <c r="F177" s="349">
        <v>1351</v>
      </c>
      <c r="G177" s="349">
        <v>1132</v>
      </c>
      <c r="H177" s="349">
        <v>4527</v>
      </c>
      <c r="I177" s="349">
        <v>0</v>
      </c>
      <c r="J177" s="349">
        <v>0</v>
      </c>
    </row>
    <row r="178" spans="1:10" ht="12.75">
      <c r="A178" s="360">
        <v>3</v>
      </c>
      <c r="B178" s="348" t="s">
        <v>392</v>
      </c>
      <c r="C178" s="349">
        <v>2717</v>
      </c>
      <c r="D178" s="349">
        <v>2076</v>
      </c>
      <c r="E178" s="350">
        <v>0.764</v>
      </c>
      <c r="F178" s="361">
        <v>797</v>
      </c>
      <c r="G178" s="361">
        <v>603</v>
      </c>
      <c r="H178" s="361">
        <v>2076</v>
      </c>
      <c r="I178" s="361">
        <v>0</v>
      </c>
      <c r="J178" s="349">
        <v>0</v>
      </c>
    </row>
    <row r="179" spans="1:10" ht="12.75">
      <c r="A179" s="360">
        <v>4</v>
      </c>
      <c r="B179" s="348" t="s">
        <v>206</v>
      </c>
      <c r="C179" s="349">
        <v>5708</v>
      </c>
      <c r="D179" s="349">
        <v>4272</v>
      </c>
      <c r="E179" s="350">
        <v>0.748</v>
      </c>
      <c r="F179" s="361">
        <v>1531</v>
      </c>
      <c r="G179" s="361">
        <v>1145</v>
      </c>
      <c r="H179" s="361">
        <v>4272</v>
      </c>
      <c r="I179" s="361">
        <v>0</v>
      </c>
      <c r="J179" s="349">
        <v>0</v>
      </c>
    </row>
    <row r="180" spans="1:10" ht="12.75">
      <c r="A180" s="360">
        <v>5</v>
      </c>
      <c r="B180" s="348" t="s">
        <v>393</v>
      </c>
      <c r="C180" s="349">
        <v>6059</v>
      </c>
      <c r="D180" s="349">
        <v>5121</v>
      </c>
      <c r="E180" s="350">
        <v>0.845</v>
      </c>
      <c r="F180" s="361">
        <v>1560</v>
      </c>
      <c r="G180" s="361">
        <v>1208</v>
      </c>
      <c r="H180" s="361">
        <v>4581</v>
      </c>
      <c r="I180" s="361">
        <v>110</v>
      </c>
      <c r="J180" s="349">
        <v>540</v>
      </c>
    </row>
    <row r="181" spans="1:10" ht="12.75">
      <c r="A181" s="360">
        <v>6</v>
      </c>
      <c r="B181" s="348" t="s">
        <v>394</v>
      </c>
      <c r="C181" s="349">
        <v>2742</v>
      </c>
      <c r="D181" s="349">
        <v>2698</v>
      </c>
      <c r="E181" s="350">
        <v>0.984</v>
      </c>
      <c r="F181" s="361">
        <v>771</v>
      </c>
      <c r="G181" s="361">
        <v>762</v>
      </c>
      <c r="H181" s="361">
        <v>2698</v>
      </c>
      <c r="I181" s="361">
        <v>0</v>
      </c>
      <c r="J181" s="349">
        <v>0</v>
      </c>
    </row>
    <row r="182" spans="1:10" ht="12.75">
      <c r="A182" s="360">
        <v>7</v>
      </c>
      <c r="B182" s="348" t="s">
        <v>395</v>
      </c>
      <c r="C182" s="349">
        <v>6855</v>
      </c>
      <c r="D182" s="349">
        <v>5399</v>
      </c>
      <c r="E182" s="350">
        <v>0.788</v>
      </c>
      <c r="F182" s="361">
        <v>1578</v>
      </c>
      <c r="G182" s="361">
        <v>1193</v>
      </c>
      <c r="H182" s="361">
        <v>4648</v>
      </c>
      <c r="I182" s="361">
        <v>203</v>
      </c>
      <c r="J182" s="349">
        <v>751</v>
      </c>
    </row>
    <row r="183" spans="1:10" ht="12.75">
      <c r="A183" s="360">
        <v>8</v>
      </c>
      <c r="B183" s="348" t="s">
        <v>396</v>
      </c>
      <c r="C183" s="349">
        <v>4428</v>
      </c>
      <c r="D183" s="349">
        <v>3993</v>
      </c>
      <c r="E183" s="350">
        <v>0.902</v>
      </c>
      <c r="F183" s="361">
        <v>1016</v>
      </c>
      <c r="G183" s="361">
        <v>912</v>
      </c>
      <c r="H183" s="361">
        <v>3594</v>
      </c>
      <c r="I183" s="361">
        <v>101</v>
      </c>
      <c r="J183" s="349">
        <v>399</v>
      </c>
    </row>
    <row r="184" spans="1:10" ht="12.75">
      <c r="A184" s="360">
        <v>9</v>
      </c>
      <c r="B184" s="348" t="s">
        <v>207</v>
      </c>
      <c r="C184" s="349">
        <v>2309</v>
      </c>
      <c r="D184" s="349">
        <v>2140</v>
      </c>
      <c r="E184" s="350">
        <v>0.927</v>
      </c>
      <c r="F184" s="361">
        <v>642</v>
      </c>
      <c r="G184" s="361">
        <v>604</v>
      </c>
      <c r="H184" s="361">
        <v>2140</v>
      </c>
      <c r="I184" s="361">
        <v>0</v>
      </c>
      <c r="J184" s="349">
        <v>0</v>
      </c>
    </row>
    <row r="185" spans="1:10" ht="12.75">
      <c r="A185" s="360">
        <v>10</v>
      </c>
      <c r="B185" s="348" t="s">
        <v>397</v>
      </c>
      <c r="C185" s="349">
        <v>2793</v>
      </c>
      <c r="D185" s="349">
        <v>1935</v>
      </c>
      <c r="E185" s="350">
        <v>0.693</v>
      </c>
      <c r="F185" s="361">
        <v>693</v>
      </c>
      <c r="G185" s="361">
        <v>492</v>
      </c>
      <c r="H185" s="361">
        <v>1935</v>
      </c>
      <c r="I185" s="361">
        <v>0</v>
      </c>
      <c r="J185" s="349">
        <v>0</v>
      </c>
    </row>
    <row r="186" spans="1:10" ht="12.75">
      <c r="A186" s="360">
        <v>11</v>
      </c>
      <c r="B186" s="348" t="s">
        <v>398</v>
      </c>
      <c r="C186" s="349">
        <v>5456</v>
      </c>
      <c r="D186" s="349">
        <v>4248</v>
      </c>
      <c r="E186" s="350">
        <v>0.779</v>
      </c>
      <c r="F186" s="361">
        <v>1507</v>
      </c>
      <c r="G186" s="361">
        <v>1170</v>
      </c>
      <c r="H186" s="361">
        <v>4163</v>
      </c>
      <c r="I186" s="361">
        <v>24</v>
      </c>
      <c r="J186" s="349">
        <v>85</v>
      </c>
    </row>
    <row r="187" spans="1:10" ht="12.75">
      <c r="A187" s="360">
        <v>12</v>
      </c>
      <c r="B187" s="348" t="s">
        <v>399</v>
      </c>
      <c r="C187" s="349">
        <v>5638</v>
      </c>
      <c r="D187" s="349">
        <v>5559</v>
      </c>
      <c r="E187" s="350">
        <v>0.986</v>
      </c>
      <c r="F187" s="349">
        <v>1291</v>
      </c>
      <c r="G187" s="349">
        <v>1129</v>
      </c>
      <c r="H187" s="349">
        <v>4900</v>
      </c>
      <c r="I187" s="349">
        <v>348</v>
      </c>
      <c r="J187" s="349">
        <v>659</v>
      </c>
    </row>
    <row r="188" spans="1:10" ht="12.75">
      <c r="A188" s="360">
        <v>13</v>
      </c>
      <c r="B188" s="348" t="s">
        <v>400</v>
      </c>
      <c r="C188" s="349">
        <v>3295</v>
      </c>
      <c r="D188" s="349">
        <v>2788</v>
      </c>
      <c r="E188" s="350">
        <v>0.846</v>
      </c>
      <c r="F188" s="361">
        <v>897</v>
      </c>
      <c r="G188" s="361">
        <v>770</v>
      </c>
      <c r="H188" s="361">
        <v>2788</v>
      </c>
      <c r="I188" s="361">
        <v>0</v>
      </c>
      <c r="J188" s="349">
        <v>0</v>
      </c>
    </row>
    <row r="189" spans="1:10" ht="12.75">
      <c r="A189" s="360">
        <v>14</v>
      </c>
      <c r="B189" s="348" t="s">
        <v>401</v>
      </c>
      <c r="C189" s="349">
        <v>2597</v>
      </c>
      <c r="D189" s="349">
        <v>1888</v>
      </c>
      <c r="E189" s="350">
        <v>0.727</v>
      </c>
      <c r="F189" s="361">
        <v>647</v>
      </c>
      <c r="G189" s="361">
        <v>468</v>
      </c>
      <c r="H189" s="361">
        <v>1888</v>
      </c>
      <c r="I189" s="361">
        <v>0</v>
      </c>
      <c r="J189" s="349">
        <v>0</v>
      </c>
    </row>
    <row r="190" spans="1:10" ht="12.75">
      <c r="A190" s="360">
        <v>15</v>
      </c>
      <c r="B190" s="348" t="s">
        <v>402</v>
      </c>
      <c r="C190" s="349">
        <v>7115</v>
      </c>
      <c r="D190" s="349">
        <v>6100</v>
      </c>
      <c r="E190" s="350">
        <v>0.857</v>
      </c>
      <c r="F190" s="361">
        <v>1489</v>
      </c>
      <c r="G190" s="361">
        <v>1224</v>
      </c>
      <c r="H190" s="361">
        <v>4741</v>
      </c>
      <c r="I190" s="361">
        <v>359</v>
      </c>
      <c r="J190" s="349">
        <v>1359</v>
      </c>
    </row>
    <row r="191" spans="1:10" ht="12.75">
      <c r="A191" s="360">
        <v>16</v>
      </c>
      <c r="B191" s="348" t="s">
        <v>208</v>
      </c>
      <c r="C191" s="349">
        <v>1644</v>
      </c>
      <c r="D191" s="349">
        <v>1500</v>
      </c>
      <c r="E191" s="350">
        <v>0.912</v>
      </c>
      <c r="F191" s="361">
        <v>442</v>
      </c>
      <c r="G191" s="361">
        <v>406</v>
      </c>
      <c r="H191" s="361">
        <v>1500</v>
      </c>
      <c r="I191" s="361">
        <v>0</v>
      </c>
      <c r="J191" s="349">
        <v>0</v>
      </c>
    </row>
    <row r="192" spans="1:10" ht="12.75">
      <c r="A192" s="360">
        <v>17</v>
      </c>
      <c r="B192" s="348" t="s">
        <v>403</v>
      </c>
      <c r="C192" s="349">
        <v>1844</v>
      </c>
      <c r="D192" s="349">
        <v>1464</v>
      </c>
      <c r="E192" s="350">
        <v>0.794</v>
      </c>
      <c r="F192" s="361">
        <v>483</v>
      </c>
      <c r="G192" s="361">
        <v>355</v>
      </c>
      <c r="H192" s="361">
        <v>1464</v>
      </c>
      <c r="I192" s="361">
        <v>0</v>
      </c>
      <c r="J192" s="349">
        <v>0</v>
      </c>
    </row>
    <row r="193" spans="1:10" ht="12.75">
      <c r="A193" s="360">
        <v>18</v>
      </c>
      <c r="B193" s="348" t="s">
        <v>404</v>
      </c>
      <c r="C193" s="349">
        <v>3936</v>
      </c>
      <c r="D193" s="349">
        <v>2951</v>
      </c>
      <c r="E193" s="350">
        <v>0.75</v>
      </c>
      <c r="F193" s="361">
        <v>908</v>
      </c>
      <c r="G193" s="361">
        <v>697</v>
      </c>
      <c r="H193" s="361">
        <v>2951</v>
      </c>
      <c r="I193" s="361">
        <v>6</v>
      </c>
      <c r="J193" s="349">
        <v>0</v>
      </c>
    </row>
    <row r="194" spans="1:10" ht="12.75">
      <c r="A194" s="360">
        <v>19</v>
      </c>
      <c r="B194" s="348" t="s">
        <v>405</v>
      </c>
      <c r="C194" s="349">
        <v>2595</v>
      </c>
      <c r="D194" s="349">
        <v>2528</v>
      </c>
      <c r="E194" s="350">
        <v>0.974</v>
      </c>
      <c r="F194" s="361">
        <v>680</v>
      </c>
      <c r="G194" s="361">
        <v>671</v>
      </c>
      <c r="H194" s="361">
        <v>2528</v>
      </c>
      <c r="I194" s="361">
        <v>6</v>
      </c>
      <c r="J194" s="349">
        <v>0</v>
      </c>
    </row>
    <row r="195" spans="1:10" ht="12.75">
      <c r="A195" s="360">
        <v>20</v>
      </c>
      <c r="B195" s="348" t="s">
        <v>406</v>
      </c>
      <c r="C195" s="349">
        <v>3959</v>
      </c>
      <c r="D195" s="349">
        <v>3572</v>
      </c>
      <c r="E195" s="350">
        <v>0.902</v>
      </c>
      <c r="F195" s="361">
        <v>979</v>
      </c>
      <c r="G195" s="361">
        <v>863</v>
      </c>
      <c r="H195" s="361">
        <v>3572</v>
      </c>
      <c r="I195" s="361">
        <v>0</v>
      </c>
      <c r="J195" s="349">
        <v>0</v>
      </c>
    </row>
    <row r="196" spans="1:10" ht="12.75">
      <c r="A196" s="360">
        <v>21</v>
      </c>
      <c r="B196" s="348" t="s">
        <v>407</v>
      </c>
      <c r="C196" s="349">
        <v>2987</v>
      </c>
      <c r="D196" s="349">
        <v>2953</v>
      </c>
      <c r="E196" s="350">
        <v>0.989</v>
      </c>
      <c r="F196" s="361">
        <v>782</v>
      </c>
      <c r="G196" s="361">
        <v>772</v>
      </c>
      <c r="H196" s="361">
        <v>2953</v>
      </c>
      <c r="I196" s="361">
        <v>0</v>
      </c>
      <c r="J196" s="349">
        <v>0</v>
      </c>
    </row>
    <row r="197" spans="1:10" ht="12.75">
      <c r="A197" s="360">
        <v>22</v>
      </c>
      <c r="B197" s="348" t="s">
        <v>408</v>
      </c>
      <c r="C197" s="349">
        <v>2573</v>
      </c>
      <c r="D197" s="349">
        <v>2146</v>
      </c>
      <c r="E197" s="350">
        <v>0.834</v>
      </c>
      <c r="F197" s="361">
        <v>704</v>
      </c>
      <c r="G197" s="361">
        <v>581</v>
      </c>
      <c r="H197" s="361">
        <v>2146</v>
      </c>
      <c r="I197" s="361">
        <v>0</v>
      </c>
      <c r="J197" s="349">
        <v>0</v>
      </c>
    </row>
    <row r="198" spans="1:10" ht="12.75">
      <c r="A198" s="360">
        <v>23</v>
      </c>
      <c r="B198" s="348" t="s">
        <v>409</v>
      </c>
      <c r="C198" s="349">
        <v>3107</v>
      </c>
      <c r="D198" s="349">
        <v>3043</v>
      </c>
      <c r="E198" s="350">
        <v>0.979</v>
      </c>
      <c r="F198" s="361">
        <v>866</v>
      </c>
      <c r="G198" s="361">
        <v>838</v>
      </c>
      <c r="H198" s="361">
        <v>3043</v>
      </c>
      <c r="I198" s="361">
        <v>6</v>
      </c>
      <c r="J198" s="349">
        <v>0</v>
      </c>
    </row>
    <row r="199" spans="1:10" ht="12.75">
      <c r="A199" s="360">
        <v>24</v>
      </c>
      <c r="B199" s="348" t="s">
        <v>209</v>
      </c>
      <c r="C199" s="349">
        <v>3659</v>
      </c>
      <c r="D199" s="349">
        <v>3349</v>
      </c>
      <c r="E199" s="350">
        <v>0.915</v>
      </c>
      <c r="F199" s="361">
        <v>646</v>
      </c>
      <c r="G199" s="361">
        <v>476</v>
      </c>
      <c r="H199" s="361">
        <v>1866</v>
      </c>
      <c r="I199" s="361">
        <v>402</v>
      </c>
      <c r="J199" s="349">
        <v>1483</v>
      </c>
    </row>
    <row r="200" spans="1:10" ht="12.75">
      <c r="A200" s="360">
        <v>25</v>
      </c>
      <c r="B200" s="348" t="s">
        <v>410</v>
      </c>
      <c r="C200" s="349">
        <v>2257</v>
      </c>
      <c r="D200" s="349">
        <v>2096</v>
      </c>
      <c r="E200" s="350">
        <v>0.929</v>
      </c>
      <c r="F200" s="361">
        <v>671</v>
      </c>
      <c r="G200" s="361">
        <v>628</v>
      </c>
      <c r="H200" s="361">
        <v>2096</v>
      </c>
      <c r="I200" s="361">
        <v>0</v>
      </c>
      <c r="J200" s="349">
        <v>0</v>
      </c>
    </row>
    <row r="201" spans="1:10" ht="12.75">
      <c r="A201" s="360">
        <v>26</v>
      </c>
      <c r="B201" s="348" t="s">
        <v>411</v>
      </c>
      <c r="C201" s="349">
        <v>5479</v>
      </c>
      <c r="D201" s="349">
        <v>4830</v>
      </c>
      <c r="E201" s="350">
        <v>0.882</v>
      </c>
      <c r="F201" s="361">
        <v>1561</v>
      </c>
      <c r="G201" s="361">
        <v>1401</v>
      </c>
      <c r="H201" s="361">
        <v>4830</v>
      </c>
      <c r="I201" s="361">
        <v>1</v>
      </c>
      <c r="J201" s="349">
        <v>0</v>
      </c>
    </row>
    <row r="202" spans="1:10" ht="13.5" customHeight="1">
      <c r="A202" s="360">
        <v>27</v>
      </c>
      <c r="B202" s="348" t="s">
        <v>412</v>
      </c>
      <c r="C202" s="349">
        <v>2935</v>
      </c>
      <c r="D202" s="349">
        <v>2443</v>
      </c>
      <c r="E202" s="350">
        <v>0.832</v>
      </c>
      <c r="F202" s="361">
        <v>673</v>
      </c>
      <c r="G202" s="361">
        <v>595</v>
      </c>
      <c r="H202" s="361">
        <v>2435</v>
      </c>
      <c r="I202" s="361">
        <v>2</v>
      </c>
      <c r="J202" s="349">
        <v>8</v>
      </c>
    </row>
    <row r="203" spans="1:84" s="409" customFormat="1" ht="19.5" customHeight="1">
      <c r="A203" s="362" t="s">
        <v>413</v>
      </c>
      <c r="B203" s="363" t="s">
        <v>414</v>
      </c>
      <c r="C203" s="358">
        <v>122276</v>
      </c>
      <c r="D203" s="358">
        <v>97075</v>
      </c>
      <c r="E203" s="359">
        <v>0.7939006836991723</v>
      </c>
      <c r="F203" s="358">
        <v>25991</v>
      </c>
      <c r="G203" s="358">
        <v>20475</v>
      </c>
      <c r="H203" s="358">
        <v>89439</v>
      </c>
      <c r="I203" s="358">
        <v>2191</v>
      </c>
      <c r="J203" s="358">
        <v>7601</v>
      </c>
      <c r="CE203" s="410"/>
      <c r="CF203" s="410"/>
    </row>
    <row r="204" spans="1:10" ht="12.75">
      <c r="A204" s="360">
        <v>1</v>
      </c>
      <c r="B204" s="348" t="s">
        <v>210</v>
      </c>
      <c r="C204" s="349">
        <v>14232</v>
      </c>
      <c r="D204" s="349">
        <v>12516</v>
      </c>
      <c r="E204" s="350">
        <v>0.879</v>
      </c>
      <c r="F204" s="349">
        <v>2720</v>
      </c>
      <c r="G204" s="349">
        <v>2032</v>
      </c>
      <c r="H204" s="349">
        <v>8177</v>
      </c>
      <c r="I204" s="349">
        <v>1151</v>
      </c>
      <c r="J204" s="349">
        <v>4339</v>
      </c>
    </row>
    <row r="205" spans="1:10" ht="12.75">
      <c r="A205" s="360">
        <v>2</v>
      </c>
      <c r="B205" s="348" t="s">
        <v>415</v>
      </c>
      <c r="C205" s="349">
        <v>4461</v>
      </c>
      <c r="D205" s="349">
        <v>3498</v>
      </c>
      <c r="E205" s="350">
        <v>0.784</v>
      </c>
      <c r="F205" s="349">
        <v>996</v>
      </c>
      <c r="G205" s="349">
        <v>845</v>
      </c>
      <c r="H205" s="349">
        <v>3498</v>
      </c>
      <c r="I205" s="349">
        <v>0</v>
      </c>
      <c r="J205" s="349">
        <v>0</v>
      </c>
    </row>
    <row r="206" spans="1:10" ht="12.75">
      <c r="A206" s="360">
        <v>3</v>
      </c>
      <c r="B206" s="348" t="s">
        <v>416</v>
      </c>
      <c r="C206" s="349">
        <v>5364</v>
      </c>
      <c r="D206" s="349">
        <v>3824</v>
      </c>
      <c r="E206" s="350">
        <v>0.713</v>
      </c>
      <c r="F206" s="361">
        <v>1119</v>
      </c>
      <c r="G206" s="361">
        <v>834</v>
      </c>
      <c r="H206" s="361">
        <v>3696</v>
      </c>
      <c r="I206" s="361">
        <v>34</v>
      </c>
      <c r="J206" s="349">
        <v>128</v>
      </c>
    </row>
    <row r="207" spans="1:10" ht="12.75">
      <c r="A207" s="360">
        <v>4</v>
      </c>
      <c r="B207" s="348" t="s">
        <v>417</v>
      </c>
      <c r="C207" s="349">
        <v>6731</v>
      </c>
      <c r="D207" s="349">
        <v>6058</v>
      </c>
      <c r="E207" s="350">
        <v>0.9</v>
      </c>
      <c r="F207" s="349">
        <v>1523</v>
      </c>
      <c r="G207" s="349">
        <v>1440</v>
      </c>
      <c r="H207" s="349">
        <v>6058</v>
      </c>
      <c r="I207" s="349">
        <v>65</v>
      </c>
      <c r="J207" s="349">
        <v>0</v>
      </c>
    </row>
    <row r="208" spans="1:10" ht="12.75">
      <c r="A208" s="360">
        <v>5</v>
      </c>
      <c r="B208" s="348" t="s">
        <v>418</v>
      </c>
      <c r="C208" s="349">
        <v>3186</v>
      </c>
      <c r="D208" s="349">
        <v>2781</v>
      </c>
      <c r="E208" s="350">
        <v>0.873</v>
      </c>
      <c r="F208" s="361">
        <v>659</v>
      </c>
      <c r="G208" s="361">
        <v>514</v>
      </c>
      <c r="H208" s="361">
        <v>2781</v>
      </c>
      <c r="I208" s="361">
        <v>0</v>
      </c>
      <c r="J208" s="349">
        <v>0</v>
      </c>
    </row>
    <row r="209" spans="1:10" ht="12.75">
      <c r="A209" s="360">
        <v>6</v>
      </c>
      <c r="B209" s="348" t="s">
        <v>419</v>
      </c>
      <c r="C209" s="349">
        <v>3340</v>
      </c>
      <c r="D209" s="349">
        <v>2355</v>
      </c>
      <c r="E209" s="350">
        <v>0.705</v>
      </c>
      <c r="F209" s="361">
        <v>856</v>
      </c>
      <c r="G209" s="361">
        <v>586</v>
      </c>
      <c r="H209" s="361">
        <v>2355</v>
      </c>
      <c r="I209" s="361">
        <v>0</v>
      </c>
      <c r="J209" s="349">
        <v>0</v>
      </c>
    </row>
    <row r="210" spans="1:10" ht="12.75">
      <c r="A210" s="360">
        <v>7</v>
      </c>
      <c r="B210" s="348" t="s">
        <v>420</v>
      </c>
      <c r="C210" s="349">
        <v>5197</v>
      </c>
      <c r="D210" s="349">
        <v>3545</v>
      </c>
      <c r="E210" s="350">
        <v>0.682</v>
      </c>
      <c r="F210" s="349">
        <v>1113</v>
      </c>
      <c r="G210" s="349">
        <v>711</v>
      </c>
      <c r="H210" s="349">
        <v>3308</v>
      </c>
      <c r="I210" s="349">
        <v>76</v>
      </c>
      <c r="J210" s="349">
        <v>227</v>
      </c>
    </row>
    <row r="211" spans="1:10" ht="12.75">
      <c r="A211" s="360">
        <v>8</v>
      </c>
      <c r="B211" s="348" t="s">
        <v>421</v>
      </c>
      <c r="C211" s="349">
        <v>4196</v>
      </c>
      <c r="D211" s="349">
        <v>2998</v>
      </c>
      <c r="E211" s="350">
        <v>0.714</v>
      </c>
      <c r="F211" s="349">
        <v>771</v>
      </c>
      <c r="G211" s="349">
        <v>542</v>
      </c>
      <c r="H211" s="349">
        <v>2818</v>
      </c>
      <c r="I211" s="349">
        <v>185</v>
      </c>
      <c r="J211" s="349">
        <v>180</v>
      </c>
    </row>
    <row r="212" spans="1:10" ht="12.75">
      <c r="A212" s="360">
        <v>9</v>
      </c>
      <c r="B212" s="348" t="s">
        <v>422</v>
      </c>
      <c r="C212" s="349">
        <v>4317</v>
      </c>
      <c r="D212" s="349">
        <v>3221</v>
      </c>
      <c r="E212" s="350">
        <v>0.746</v>
      </c>
      <c r="F212" s="361">
        <v>920</v>
      </c>
      <c r="G212" s="361">
        <v>731</v>
      </c>
      <c r="H212" s="361">
        <v>3221</v>
      </c>
      <c r="I212" s="361">
        <v>0</v>
      </c>
      <c r="J212" s="349">
        <v>0</v>
      </c>
    </row>
    <row r="213" spans="1:10" ht="12.75">
      <c r="A213" s="360">
        <v>10</v>
      </c>
      <c r="B213" s="348" t="s">
        <v>423</v>
      </c>
      <c r="C213" s="349">
        <v>4888</v>
      </c>
      <c r="D213" s="349">
        <v>4071</v>
      </c>
      <c r="E213" s="350">
        <v>0.833</v>
      </c>
      <c r="F213" s="361">
        <v>1101</v>
      </c>
      <c r="G213" s="361">
        <v>934</v>
      </c>
      <c r="H213" s="361">
        <v>3986</v>
      </c>
      <c r="I213" s="361">
        <v>24</v>
      </c>
      <c r="J213" s="349">
        <v>85</v>
      </c>
    </row>
    <row r="214" spans="1:10" ht="12.75">
      <c r="A214" s="360">
        <v>11</v>
      </c>
      <c r="B214" s="348" t="s">
        <v>424</v>
      </c>
      <c r="C214" s="349">
        <v>4824</v>
      </c>
      <c r="D214" s="349">
        <v>3720</v>
      </c>
      <c r="E214" s="350">
        <v>0.771</v>
      </c>
      <c r="F214" s="361">
        <v>931</v>
      </c>
      <c r="G214" s="361">
        <v>716</v>
      </c>
      <c r="H214" s="361">
        <v>3316</v>
      </c>
      <c r="I214" s="361">
        <v>99</v>
      </c>
      <c r="J214" s="349">
        <v>404</v>
      </c>
    </row>
    <row r="215" spans="1:10" ht="12.75">
      <c r="A215" s="360">
        <v>12</v>
      </c>
      <c r="B215" s="348" t="s">
        <v>425</v>
      </c>
      <c r="C215" s="349">
        <v>4081</v>
      </c>
      <c r="D215" s="349">
        <v>2510</v>
      </c>
      <c r="E215" s="350">
        <v>0.615</v>
      </c>
      <c r="F215" s="361">
        <v>838</v>
      </c>
      <c r="G215" s="361">
        <v>599</v>
      </c>
      <c r="H215" s="361">
        <v>2510</v>
      </c>
      <c r="I215" s="361">
        <v>0</v>
      </c>
      <c r="J215" s="349">
        <v>0</v>
      </c>
    </row>
    <row r="216" spans="1:10" ht="12.75">
      <c r="A216" s="360">
        <v>13</v>
      </c>
      <c r="B216" s="348" t="s">
        <v>426</v>
      </c>
      <c r="C216" s="349">
        <v>4602</v>
      </c>
      <c r="D216" s="349">
        <v>3292</v>
      </c>
      <c r="E216" s="350">
        <v>0.715</v>
      </c>
      <c r="F216" s="361">
        <v>1034</v>
      </c>
      <c r="G216" s="361">
        <v>789</v>
      </c>
      <c r="H216" s="361">
        <v>3267</v>
      </c>
      <c r="I216" s="361">
        <v>0</v>
      </c>
      <c r="J216" s="349">
        <v>0</v>
      </c>
    </row>
    <row r="217" spans="1:10" ht="12.75">
      <c r="A217" s="360">
        <v>14</v>
      </c>
      <c r="B217" s="348" t="s">
        <v>427</v>
      </c>
      <c r="C217" s="349">
        <v>4798</v>
      </c>
      <c r="D217" s="349">
        <v>3707</v>
      </c>
      <c r="E217" s="350">
        <v>0.773</v>
      </c>
      <c r="F217" s="349">
        <v>1155</v>
      </c>
      <c r="G217" s="349">
        <v>888</v>
      </c>
      <c r="H217" s="349">
        <v>3678</v>
      </c>
      <c r="I217" s="349">
        <v>9</v>
      </c>
      <c r="J217" s="349">
        <v>29</v>
      </c>
    </row>
    <row r="218" spans="1:10" ht="12.75">
      <c r="A218" s="360">
        <v>15</v>
      </c>
      <c r="B218" s="348" t="s">
        <v>432</v>
      </c>
      <c r="C218" s="349">
        <v>3435</v>
      </c>
      <c r="D218" s="349">
        <v>2589</v>
      </c>
      <c r="E218" s="350">
        <v>0.754</v>
      </c>
      <c r="F218" s="349">
        <v>774</v>
      </c>
      <c r="G218" s="349">
        <v>604</v>
      </c>
      <c r="H218" s="349">
        <v>2586</v>
      </c>
      <c r="I218" s="349">
        <v>1</v>
      </c>
      <c r="J218" s="349">
        <v>3</v>
      </c>
    </row>
    <row r="219" spans="1:10" ht="12.75">
      <c r="A219" s="360">
        <v>16</v>
      </c>
      <c r="B219" s="348" t="s">
        <v>433</v>
      </c>
      <c r="C219" s="349">
        <v>5003</v>
      </c>
      <c r="D219" s="349">
        <v>4301</v>
      </c>
      <c r="E219" s="350">
        <v>0.86</v>
      </c>
      <c r="F219" s="361">
        <v>1168</v>
      </c>
      <c r="G219" s="361">
        <v>1015</v>
      </c>
      <c r="H219" s="361">
        <v>4301</v>
      </c>
      <c r="I219" s="361">
        <v>0</v>
      </c>
      <c r="J219" s="349">
        <v>0</v>
      </c>
    </row>
    <row r="220" spans="1:10" ht="12.75">
      <c r="A220" s="360">
        <v>17</v>
      </c>
      <c r="B220" s="348" t="s">
        <v>434</v>
      </c>
      <c r="C220" s="349">
        <v>3188</v>
      </c>
      <c r="D220" s="349">
        <v>2412</v>
      </c>
      <c r="E220" s="350">
        <v>0.757</v>
      </c>
      <c r="F220" s="361">
        <v>514</v>
      </c>
      <c r="G220" s="361">
        <v>398</v>
      </c>
      <c r="H220" s="361">
        <v>2412</v>
      </c>
      <c r="I220" s="361">
        <v>4</v>
      </c>
      <c r="J220" s="349">
        <v>0</v>
      </c>
    </row>
    <row r="221" spans="1:10" ht="12.75">
      <c r="A221" s="360">
        <v>18</v>
      </c>
      <c r="B221" s="348" t="s">
        <v>435</v>
      </c>
      <c r="C221" s="349">
        <v>2962</v>
      </c>
      <c r="D221" s="349">
        <v>2486</v>
      </c>
      <c r="E221" s="350">
        <v>0.839</v>
      </c>
      <c r="F221" s="361">
        <v>708</v>
      </c>
      <c r="G221" s="361">
        <v>599</v>
      </c>
      <c r="H221" s="361">
        <v>2486</v>
      </c>
      <c r="I221" s="361">
        <v>0</v>
      </c>
      <c r="J221" s="349">
        <v>0</v>
      </c>
    </row>
    <row r="222" spans="1:10" ht="12.75">
      <c r="A222" s="360">
        <v>19</v>
      </c>
      <c r="B222" s="348" t="s">
        <v>436</v>
      </c>
      <c r="C222" s="349">
        <v>6932</v>
      </c>
      <c r="D222" s="349">
        <v>5077</v>
      </c>
      <c r="E222" s="350">
        <v>0.732</v>
      </c>
      <c r="F222" s="361">
        <v>1643</v>
      </c>
      <c r="G222" s="361">
        <v>1234</v>
      </c>
      <c r="H222" s="361">
        <v>5077</v>
      </c>
      <c r="I222" s="361">
        <v>3</v>
      </c>
      <c r="J222" s="349">
        <v>0</v>
      </c>
    </row>
    <row r="223" spans="1:10" ht="12.75">
      <c r="A223" s="360">
        <v>20</v>
      </c>
      <c r="B223" s="348" t="s">
        <v>437</v>
      </c>
      <c r="C223" s="349">
        <v>11666</v>
      </c>
      <c r="D223" s="349">
        <v>10261</v>
      </c>
      <c r="E223" s="350">
        <v>0.88</v>
      </c>
      <c r="F223" s="349">
        <v>2523</v>
      </c>
      <c r="G223" s="349">
        <v>2220</v>
      </c>
      <c r="H223" s="349">
        <v>9671</v>
      </c>
      <c r="I223" s="349">
        <v>155</v>
      </c>
      <c r="J223" s="349">
        <v>590</v>
      </c>
    </row>
    <row r="224" spans="1:10" ht="12.75">
      <c r="A224" s="360">
        <v>21</v>
      </c>
      <c r="B224" s="348" t="s">
        <v>438</v>
      </c>
      <c r="C224" s="349">
        <v>3820</v>
      </c>
      <c r="D224" s="349">
        <v>3284</v>
      </c>
      <c r="E224" s="350">
        <v>0.86</v>
      </c>
      <c r="F224" s="361">
        <v>833</v>
      </c>
      <c r="G224" s="361">
        <v>715</v>
      </c>
      <c r="H224" s="361">
        <v>3284</v>
      </c>
      <c r="I224" s="361">
        <v>0</v>
      </c>
      <c r="J224" s="349">
        <v>0</v>
      </c>
    </row>
    <row r="225" spans="1:10" ht="12.75">
      <c r="A225" s="360">
        <v>22</v>
      </c>
      <c r="B225" s="348" t="s">
        <v>439</v>
      </c>
      <c r="C225" s="349">
        <v>4286</v>
      </c>
      <c r="D225" s="349">
        <v>3674</v>
      </c>
      <c r="E225" s="350">
        <v>0.857</v>
      </c>
      <c r="F225" s="361">
        <v>696</v>
      </c>
      <c r="G225" s="361">
        <v>572</v>
      </c>
      <c r="H225" s="361">
        <v>2917</v>
      </c>
      <c r="I225" s="361">
        <v>167</v>
      </c>
      <c r="J225" s="349">
        <v>757</v>
      </c>
    </row>
    <row r="226" spans="1:10" ht="12.75">
      <c r="A226" s="360">
        <v>23</v>
      </c>
      <c r="B226" s="348" t="s">
        <v>440</v>
      </c>
      <c r="C226" s="349">
        <v>6767</v>
      </c>
      <c r="D226" s="349">
        <v>4895</v>
      </c>
      <c r="E226" s="350">
        <v>0.723</v>
      </c>
      <c r="F226" s="361">
        <v>1396</v>
      </c>
      <c r="G226" s="361">
        <v>957</v>
      </c>
      <c r="H226" s="361">
        <v>4036</v>
      </c>
      <c r="I226" s="361">
        <v>218</v>
      </c>
      <c r="J226" s="349">
        <v>859</v>
      </c>
    </row>
    <row r="227" spans="1:84" s="414" customFormat="1" ht="19.5" customHeight="1">
      <c r="A227" s="362" t="s">
        <v>441</v>
      </c>
      <c r="B227" s="363" t="s">
        <v>442</v>
      </c>
      <c r="C227" s="358">
        <v>80224</v>
      </c>
      <c r="D227" s="358">
        <v>71255</v>
      </c>
      <c r="E227" s="359">
        <v>0.8882005384922218</v>
      </c>
      <c r="F227" s="358">
        <v>17609</v>
      </c>
      <c r="G227" s="358">
        <v>14138</v>
      </c>
      <c r="H227" s="358">
        <v>63457</v>
      </c>
      <c r="I227" s="358">
        <v>2067</v>
      </c>
      <c r="J227" s="358">
        <v>7798</v>
      </c>
      <c r="K227" s="410"/>
      <c r="L227" s="410"/>
      <c r="M227" s="410"/>
      <c r="N227" s="410"/>
      <c r="O227" s="410"/>
      <c r="P227" s="410"/>
      <c r="Q227" s="410"/>
      <c r="R227" s="410"/>
      <c r="S227" s="410"/>
      <c r="T227" s="410"/>
      <c r="U227" s="410"/>
      <c r="V227" s="410"/>
      <c r="W227" s="410"/>
      <c r="X227" s="410"/>
      <c r="Y227" s="410"/>
      <c r="Z227" s="410"/>
      <c r="AA227" s="410"/>
      <c r="AB227" s="410"/>
      <c r="AC227" s="410"/>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0"/>
      <c r="AY227" s="410"/>
      <c r="AZ227" s="410"/>
      <c r="BA227" s="410"/>
      <c r="BB227" s="410"/>
      <c r="BC227" s="410"/>
      <c r="BD227" s="410"/>
      <c r="BE227" s="410"/>
      <c r="BF227" s="410"/>
      <c r="BG227" s="410"/>
      <c r="BH227" s="410"/>
      <c r="BI227" s="410"/>
      <c r="BJ227" s="410"/>
      <c r="BK227" s="410"/>
      <c r="BL227" s="410"/>
      <c r="BM227" s="410"/>
      <c r="BN227" s="410"/>
      <c r="BO227" s="410"/>
      <c r="BP227" s="410"/>
      <c r="BQ227" s="410"/>
      <c r="BR227" s="410"/>
      <c r="BS227" s="410"/>
      <c r="BT227" s="410"/>
      <c r="BU227" s="410"/>
      <c r="BV227" s="410"/>
      <c r="BW227" s="410"/>
      <c r="BX227" s="410"/>
      <c r="BY227" s="410"/>
      <c r="BZ227" s="410"/>
      <c r="CA227" s="410"/>
      <c r="CB227" s="410"/>
      <c r="CC227" s="410"/>
      <c r="CD227" s="410"/>
      <c r="CE227" s="410"/>
      <c r="CF227" s="410"/>
    </row>
    <row r="228" spans="1:10" ht="12.75">
      <c r="A228" s="360">
        <v>1</v>
      </c>
      <c r="B228" s="348" t="s">
        <v>443</v>
      </c>
      <c r="C228" s="349">
        <v>4665</v>
      </c>
      <c r="D228" s="349">
        <v>4645</v>
      </c>
      <c r="E228" s="350">
        <v>0.996</v>
      </c>
      <c r="F228" s="349">
        <v>1082</v>
      </c>
      <c r="G228" s="349">
        <v>1020</v>
      </c>
      <c r="H228" s="349">
        <v>4634</v>
      </c>
      <c r="I228" s="349">
        <v>0</v>
      </c>
      <c r="J228" s="349">
        <v>11</v>
      </c>
    </row>
    <row r="229" spans="1:10" ht="12.75">
      <c r="A229" s="360">
        <v>2</v>
      </c>
      <c r="B229" s="348" t="s">
        <v>444</v>
      </c>
      <c r="C229" s="349">
        <v>11735</v>
      </c>
      <c r="D229" s="349">
        <v>9513</v>
      </c>
      <c r="E229" s="350">
        <v>0.811</v>
      </c>
      <c r="F229" s="349">
        <v>2732</v>
      </c>
      <c r="G229" s="349">
        <v>2187</v>
      </c>
      <c r="H229" s="349">
        <v>9513</v>
      </c>
      <c r="I229" s="349">
        <v>0</v>
      </c>
      <c r="J229" s="349">
        <v>0</v>
      </c>
    </row>
    <row r="230" spans="1:10" ht="12.75">
      <c r="A230" s="360">
        <v>3</v>
      </c>
      <c r="B230" s="348" t="s">
        <v>445</v>
      </c>
      <c r="C230" s="349">
        <v>4051</v>
      </c>
      <c r="D230" s="349">
        <v>3698</v>
      </c>
      <c r="E230" s="350">
        <v>0.913</v>
      </c>
      <c r="F230" s="349">
        <v>892</v>
      </c>
      <c r="G230" s="349">
        <v>750</v>
      </c>
      <c r="H230" s="349">
        <v>3680</v>
      </c>
      <c r="I230" s="349">
        <v>0</v>
      </c>
      <c r="J230" s="349">
        <v>18</v>
      </c>
    </row>
    <row r="231" spans="1:10" ht="12.75">
      <c r="A231" s="360">
        <v>4</v>
      </c>
      <c r="B231" s="348" t="s">
        <v>211</v>
      </c>
      <c r="C231" s="349">
        <v>5192</v>
      </c>
      <c r="D231" s="349">
        <v>5133</v>
      </c>
      <c r="E231" s="350">
        <v>0.989</v>
      </c>
      <c r="F231" s="361">
        <v>1050</v>
      </c>
      <c r="G231" s="361">
        <v>1012</v>
      </c>
      <c r="H231" s="361">
        <v>4171</v>
      </c>
      <c r="I231" s="361">
        <v>217</v>
      </c>
      <c r="J231" s="349">
        <v>962</v>
      </c>
    </row>
    <row r="232" spans="1:10" ht="12.75">
      <c r="A232" s="360">
        <v>5</v>
      </c>
      <c r="B232" s="348" t="s">
        <v>446</v>
      </c>
      <c r="C232" s="349">
        <v>11254</v>
      </c>
      <c r="D232" s="349">
        <v>10869</v>
      </c>
      <c r="E232" s="350">
        <v>0.966</v>
      </c>
      <c r="F232" s="349">
        <v>2491</v>
      </c>
      <c r="G232" s="349">
        <v>2301</v>
      </c>
      <c r="H232" s="349">
        <v>10839</v>
      </c>
      <c r="I232" s="349">
        <v>20</v>
      </c>
      <c r="J232" s="349">
        <v>30</v>
      </c>
    </row>
    <row r="233" spans="1:10" ht="12.75">
      <c r="A233" s="360">
        <v>6</v>
      </c>
      <c r="B233" s="348" t="s">
        <v>447</v>
      </c>
      <c r="C233" s="349">
        <v>4925</v>
      </c>
      <c r="D233" s="349">
        <v>4690</v>
      </c>
      <c r="E233" s="350">
        <v>0.952</v>
      </c>
      <c r="F233" s="361">
        <v>1135</v>
      </c>
      <c r="G233" s="361">
        <v>825</v>
      </c>
      <c r="H233" s="361">
        <v>3487</v>
      </c>
      <c r="I233" s="361">
        <v>301</v>
      </c>
      <c r="J233" s="349">
        <v>1203</v>
      </c>
    </row>
    <row r="234" spans="1:10" ht="12.75">
      <c r="A234" s="360">
        <v>7</v>
      </c>
      <c r="B234" s="348" t="s">
        <v>212</v>
      </c>
      <c r="C234" s="349">
        <v>3020</v>
      </c>
      <c r="D234" s="349">
        <v>2531</v>
      </c>
      <c r="E234" s="350">
        <v>0.838</v>
      </c>
      <c r="F234" s="361">
        <v>709</v>
      </c>
      <c r="G234" s="361">
        <v>589</v>
      </c>
      <c r="H234" s="361">
        <v>2531</v>
      </c>
      <c r="I234" s="361">
        <v>0</v>
      </c>
      <c r="J234" s="349">
        <v>0</v>
      </c>
    </row>
    <row r="235" spans="1:10" ht="12.75">
      <c r="A235" s="360">
        <v>8</v>
      </c>
      <c r="B235" s="348" t="s">
        <v>448</v>
      </c>
      <c r="C235" s="349">
        <v>7175</v>
      </c>
      <c r="D235" s="349">
        <v>5070</v>
      </c>
      <c r="E235" s="350">
        <v>0.707</v>
      </c>
      <c r="F235" s="361">
        <v>1409</v>
      </c>
      <c r="G235" s="361">
        <v>946</v>
      </c>
      <c r="H235" s="361">
        <v>5070</v>
      </c>
      <c r="I235" s="361">
        <v>0</v>
      </c>
      <c r="J235" s="349">
        <v>0</v>
      </c>
    </row>
    <row r="236" spans="1:10" ht="12.75">
      <c r="A236" s="360">
        <v>9</v>
      </c>
      <c r="B236" s="348" t="s">
        <v>449</v>
      </c>
      <c r="C236" s="349">
        <v>3597</v>
      </c>
      <c r="D236" s="349">
        <v>3143</v>
      </c>
      <c r="E236" s="350">
        <v>0.874</v>
      </c>
      <c r="F236" s="361">
        <v>722</v>
      </c>
      <c r="G236" s="361">
        <v>594</v>
      </c>
      <c r="H236" s="361">
        <v>2468</v>
      </c>
      <c r="I236" s="361">
        <v>182</v>
      </c>
      <c r="J236" s="349">
        <v>675</v>
      </c>
    </row>
    <row r="237" spans="1:10" ht="12.75">
      <c r="A237" s="360">
        <v>10</v>
      </c>
      <c r="B237" s="348" t="s">
        <v>450</v>
      </c>
      <c r="C237" s="349">
        <v>5387</v>
      </c>
      <c r="D237" s="349">
        <v>4884</v>
      </c>
      <c r="E237" s="350">
        <v>0.907</v>
      </c>
      <c r="F237" s="361">
        <v>1007</v>
      </c>
      <c r="G237" s="361">
        <v>756</v>
      </c>
      <c r="H237" s="361">
        <v>3426</v>
      </c>
      <c r="I237" s="361">
        <v>453</v>
      </c>
      <c r="J237" s="349">
        <v>1458</v>
      </c>
    </row>
    <row r="238" spans="1:10" ht="12.75">
      <c r="A238" s="360">
        <v>11</v>
      </c>
      <c r="B238" s="348" t="s">
        <v>451</v>
      </c>
      <c r="C238" s="349">
        <v>3671</v>
      </c>
      <c r="D238" s="349">
        <v>2900</v>
      </c>
      <c r="E238" s="350">
        <v>0.79</v>
      </c>
      <c r="F238" s="361">
        <v>877</v>
      </c>
      <c r="G238" s="361">
        <v>706</v>
      </c>
      <c r="H238" s="361">
        <v>2900</v>
      </c>
      <c r="I238" s="361">
        <v>0</v>
      </c>
      <c r="J238" s="349">
        <v>0</v>
      </c>
    </row>
    <row r="239" spans="1:10" ht="12.75">
      <c r="A239" s="360">
        <v>12</v>
      </c>
      <c r="B239" s="348" t="s">
        <v>213</v>
      </c>
      <c r="C239" s="349">
        <v>2085</v>
      </c>
      <c r="D239" s="349">
        <v>1954</v>
      </c>
      <c r="E239" s="350">
        <v>0.937</v>
      </c>
      <c r="F239" s="361">
        <v>490</v>
      </c>
      <c r="G239" s="361">
        <v>471</v>
      </c>
      <c r="H239" s="361">
        <v>1954</v>
      </c>
      <c r="I239" s="361">
        <v>0</v>
      </c>
      <c r="J239" s="349">
        <v>0</v>
      </c>
    </row>
    <row r="240" spans="1:10" ht="12.75">
      <c r="A240" s="360">
        <v>13</v>
      </c>
      <c r="B240" s="348" t="s">
        <v>214</v>
      </c>
      <c r="C240" s="349">
        <v>2842</v>
      </c>
      <c r="D240" s="349">
        <v>2327</v>
      </c>
      <c r="E240" s="350">
        <v>0.819</v>
      </c>
      <c r="F240" s="361">
        <v>680</v>
      </c>
      <c r="G240" s="361">
        <v>553</v>
      </c>
      <c r="H240" s="361">
        <v>2327</v>
      </c>
      <c r="I240" s="361">
        <v>3</v>
      </c>
      <c r="J240" s="349">
        <v>0</v>
      </c>
    </row>
    <row r="241" spans="1:10" ht="12.75">
      <c r="A241" s="360">
        <v>14</v>
      </c>
      <c r="B241" s="348" t="s">
        <v>452</v>
      </c>
      <c r="C241" s="349">
        <v>6373</v>
      </c>
      <c r="D241" s="349">
        <v>6316</v>
      </c>
      <c r="E241" s="350">
        <v>0.991</v>
      </c>
      <c r="F241" s="361">
        <v>1415</v>
      </c>
      <c r="G241" s="361">
        <v>681</v>
      </c>
      <c r="H241" s="361">
        <v>2899</v>
      </c>
      <c r="I241" s="361">
        <v>884</v>
      </c>
      <c r="J241" s="349">
        <v>3417</v>
      </c>
    </row>
    <row r="242" spans="1:10" ht="12.75">
      <c r="A242" s="360">
        <v>15</v>
      </c>
      <c r="B242" s="348" t="s">
        <v>453</v>
      </c>
      <c r="C242" s="349">
        <v>4252</v>
      </c>
      <c r="D242" s="349">
        <v>3582</v>
      </c>
      <c r="E242" s="350">
        <v>0.842</v>
      </c>
      <c r="F242" s="361">
        <v>918</v>
      </c>
      <c r="G242" s="361">
        <v>747</v>
      </c>
      <c r="H242" s="361">
        <v>3558</v>
      </c>
      <c r="I242" s="361">
        <v>7</v>
      </c>
      <c r="J242" s="349">
        <v>24</v>
      </c>
    </row>
    <row r="243" spans="1:84" s="414" customFormat="1" ht="19.5" customHeight="1">
      <c r="A243" s="362" t="s">
        <v>454</v>
      </c>
      <c r="B243" s="363" t="s">
        <v>455</v>
      </c>
      <c r="C243" s="358">
        <v>83753</v>
      </c>
      <c r="D243" s="358">
        <v>67705</v>
      </c>
      <c r="E243" s="359">
        <v>0.808388953231526</v>
      </c>
      <c r="F243" s="358">
        <v>17801</v>
      </c>
      <c r="G243" s="358">
        <v>14675</v>
      </c>
      <c r="H243" s="358">
        <v>63069</v>
      </c>
      <c r="I243" s="358">
        <v>1349</v>
      </c>
      <c r="J243" s="358">
        <v>4636</v>
      </c>
      <c r="K243" s="410"/>
      <c r="L243" s="410"/>
      <c r="M243" s="410"/>
      <c r="N243" s="410"/>
      <c r="O243" s="410"/>
      <c r="P243" s="410"/>
      <c r="Q243" s="410"/>
      <c r="R243" s="410"/>
      <c r="S243" s="410"/>
      <c r="T243" s="410"/>
      <c r="U243" s="410"/>
      <c r="V243" s="410"/>
      <c r="W243" s="410"/>
      <c r="X243" s="410"/>
      <c r="Y243" s="410"/>
      <c r="Z243" s="410"/>
      <c r="AA243" s="410"/>
      <c r="AB243" s="410"/>
      <c r="AC243" s="410"/>
      <c r="AD243" s="410"/>
      <c r="AE243" s="410"/>
      <c r="AF243" s="410"/>
      <c r="AG243" s="410"/>
      <c r="AH243" s="410"/>
      <c r="AI243" s="410"/>
      <c r="AJ243" s="410"/>
      <c r="AK243" s="410"/>
      <c r="AL243" s="410"/>
      <c r="AM243" s="410"/>
      <c r="AN243" s="410"/>
      <c r="AO243" s="410"/>
      <c r="AP243" s="410"/>
      <c r="AQ243" s="410"/>
      <c r="AR243" s="410"/>
      <c r="AS243" s="410"/>
      <c r="AT243" s="410"/>
      <c r="AU243" s="410"/>
      <c r="AV243" s="410"/>
      <c r="AW243" s="410"/>
      <c r="AX243" s="410"/>
      <c r="AY243" s="410"/>
      <c r="AZ243" s="410"/>
      <c r="BA243" s="410"/>
      <c r="BB243" s="410"/>
      <c r="BC243" s="410"/>
      <c r="BD243" s="410"/>
      <c r="BE243" s="410"/>
      <c r="BF243" s="410"/>
      <c r="BG243" s="410"/>
      <c r="BH243" s="410"/>
      <c r="BI243" s="410"/>
      <c r="BJ243" s="410"/>
      <c r="BK243" s="410"/>
      <c r="BL243" s="410"/>
      <c r="BM243" s="410"/>
      <c r="BN243" s="410"/>
      <c r="BO243" s="410"/>
      <c r="BP243" s="410"/>
      <c r="BQ243" s="410"/>
      <c r="BR243" s="410"/>
      <c r="BS243" s="410"/>
      <c r="BT243" s="410"/>
      <c r="BU243" s="410"/>
      <c r="BV243" s="410"/>
      <c r="BW243" s="410"/>
      <c r="BX243" s="410"/>
      <c r="BY243" s="410"/>
      <c r="BZ243" s="410"/>
      <c r="CA243" s="410"/>
      <c r="CB243" s="410"/>
      <c r="CC243" s="410"/>
      <c r="CD243" s="410"/>
      <c r="CE243" s="410"/>
      <c r="CF243" s="410"/>
    </row>
    <row r="244" spans="1:10" ht="12.75">
      <c r="A244" s="360">
        <v>1</v>
      </c>
      <c r="B244" s="348" t="s">
        <v>456</v>
      </c>
      <c r="C244" s="349">
        <v>6433</v>
      </c>
      <c r="D244" s="349">
        <v>5675</v>
      </c>
      <c r="E244" s="350">
        <v>0.882</v>
      </c>
      <c r="F244" s="349">
        <v>1593</v>
      </c>
      <c r="G244" s="349">
        <v>1451</v>
      </c>
      <c r="H244" s="349">
        <v>5487</v>
      </c>
      <c r="I244" s="349">
        <v>55</v>
      </c>
      <c r="J244" s="349">
        <v>188</v>
      </c>
    </row>
    <row r="245" spans="1:10" ht="12.75">
      <c r="A245" s="360">
        <v>2</v>
      </c>
      <c r="B245" s="348" t="s">
        <v>457</v>
      </c>
      <c r="C245" s="349">
        <v>5395</v>
      </c>
      <c r="D245" s="349">
        <v>4348</v>
      </c>
      <c r="E245" s="350">
        <v>0.806</v>
      </c>
      <c r="F245" s="361">
        <v>1204</v>
      </c>
      <c r="G245" s="361">
        <v>1082</v>
      </c>
      <c r="H245" s="361">
        <v>4344</v>
      </c>
      <c r="I245" s="361">
        <v>0</v>
      </c>
      <c r="J245" s="349">
        <v>4</v>
      </c>
    </row>
    <row r="246" spans="1:10" ht="12.75">
      <c r="A246" s="360">
        <v>3</v>
      </c>
      <c r="B246" s="348" t="s">
        <v>458</v>
      </c>
      <c r="C246" s="349">
        <v>6601</v>
      </c>
      <c r="D246" s="349">
        <v>5580</v>
      </c>
      <c r="E246" s="350">
        <v>0.845</v>
      </c>
      <c r="F246" s="361">
        <v>1492</v>
      </c>
      <c r="G246" s="361">
        <v>1265</v>
      </c>
      <c r="H246" s="361">
        <v>5577</v>
      </c>
      <c r="I246" s="361">
        <v>1</v>
      </c>
      <c r="J246" s="349">
        <v>3</v>
      </c>
    </row>
    <row r="247" spans="1:10" ht="12.75">
      <c r="A247" s="360">
        <v>4</v>
      </c>
      <c r="B247" s="348" t="s">
        <v>459</v>
      </c>
      <c r="C247" s="349">
        <v>4216</v>
      </c>
      <c r="D247" s="349">
        <v>3986</v>
      </c>
      <c r="E247" s="350">
        <v>0.945</v>
      </c>
      <c r="F247" s="361">
        <v>1103</v>
      </c>
      <c r="G247" s="361">
        <v>986</v>
      </c>
      <c r="H247" s="361">
        <v>3984</v>
      </c>
      <c r="I247" s="361">
        <v>131</v>
      </c>
      <c r="J247" s="349">
        <v>2</v>
      </c>
    </row>
    <row r="248" spans="1:10" ht="12.75">
      <c r="A248" s="360">
        <v>5</v>
      </c>
      <c r="B248" s="348" t="s">
        <v>460</v>
      </c>
      <c r="C248" s="349">
        <v>6342</v>
      </c>
      <c r="D248" s="349">
        <v>5217</v>
      </c>
      <c r="E248" s="350">
        <v>0.823</v>
      </c>
      <c r="F248" s="361">
        <v>1392</v>
      </c>
      <c r="G248" s="361">
        <v>1134</v>
      </c>
      <c r="H248" s="361">
        <v>4940</v>
      </c>
      <c r="I248" s="361">
        <v>85</v>
      </c>
      <c r="J248" s="349">
        <v>277</v>
      </c>
    </row>
    <row r="249" spans="1:10" ht="12.75">
      <c r="A249" s="360">
        <v>6</v>
      </c>
      <c r="B249" s="348" t="s">
        <v>461</v>
      </c>
      <c r="C249" s="349">
        <v>3575</v>
      </c>
      <c r="D249" s="349">
        <v>2915</v>
      </c>
      <c r="E249" s="350">
        <v>0.815</v>
      </c>
      <c r="F249" s="361">
        <v>885</v>
      </c>
      <c r="G249" s="361">
        <v>717</v>
      </c>
      <c r="H249" s="361">
        <v>2915</v>
      </c>
      <c r="I249" s="361">
        <v>0</v>
      </c>
      <c r="J249" s="349">
        <v>0</v>
      </c>
    </row>
    <row r="250" spans="1:10" ht="12.75">
      <c r="A250" s="360">
        <v>7</v>
      </c>
      <c r="B250" s="348" t="s">
        <v>462</v>
      </c>
      <c r="C250" s="349">
        <v>4765</v>
      </c>
      <c r="D250" s="349">
        <v>3837</v>
      </c>
      <c r="E250" s="350">
        <v>0.805</v>
      </c>
      <c r="F250" s="361">
        <v>1070</v>
      </c>
      <c r="G250" s="361">
        <v>871</v>
      </c>
      <c r="H250" s="361">
        <v>3837</v>
      </c>
      <c r="I250" s="361">
        <v>1</v>
      </c>
      <c r="J250" s="349">
        <v>0</v>
      </c>
    </row>
    <row r="251" spans="1:10" ht="12.75">
      <c r="A251" s="360">
        <v>8</v>
      </c>
      <c r="B251" s="348" t="s">
        <v>463</v>
      </c>
      <c r="C251" s="349">
        <v>5565</v>
      </c>
      <c r="D251" s="349">
        <v>5418</v>
      </c>
      <c r="E251" s="350">
        <v>0.974</v>
      </c>
      <c r="F251" s="349">
        <v>882</v>
      </c>
      <c r="G251" s="349">
        <v>790</v>
      </c>
      <c r="H251" s="349">
        <v>3653</v>
      </c>
      <c r="I251" s="349">
        <v>410</v>
      </c>
      <c r="J251" s="349">
        <v>1765</v>
      </c>
    </row>
    <row r="252" spans="1:10" ht="12.75">
      <c r="A252" s="360">
        <v>9</v>
      </c>
      <c r="B252" s="348" t="s">
        <v>464</v>
      </c>
      <c r="C252" s="349">
        <v>1444</v>
      </c>
      <c r="D252" s="349">
        <v>906</v>
      </c>
      <c r="E252" s="350">
        <v>0.627</v>
      </c>
      <c r="F252" s="361">
        <v>274</v>
      </c>
      <c r="G252" s="361">
        <v>222</v>
      </c>
      <c r="H252" s="361">
        <v>906</v>
      </c>
      <c r="I252" s="361">
        <v>0</v>
      </c>
      <c r="J252" s="349">
        <v>0</v>
      </c>
    </row>
    <row r="253" spans="1:10" ht="12.75">
      <c r="A253" s="360">
        <v>10</v>
      </c>
      <c r="B253" s="348" t="s">
        <v>465</v>
      </c>
      <c r="C253" s="349">
        <v>3436</v>
      </c>
      <c r="D253" s="349">
        <v>2600</v>
      </c>
      <c r="E253" s="350">
        <v>0.757</v>
      </c>
      <c r="F253" s="361">
        <v>812</v>
      </c>
      <c r="G253" s="361">
        <v>592</v>
      </c>
      <c r="H253" s="361">
        <v>2600</v>
      </c>
      <c r="I253" s="361">
        <v>54</v>
      </c>
      <c r="J253" s="349">
        <v>0</v>
      </c>
    </row>
    <row r="254" spans="1:10" ht="12.75">
      <c r="A254" s="360">
        <v>11</v>
      </c>
      <c r="B254" s="348" t="s">
        <v>466</v>
      </c>
      <c r="C254" s="349">
        <v>6476</v>
      </c>
      <c r="D254" s="349">
        <v>3969</v>
      </c>
      <c r="E254" s="350">
        <v>0.613</v>
      </c>
      <c r="F254" s="349">
        <v>1116</v>
      </c>
      <c r="G254" s="349">
        <v>886</v>
      </c>
      <c r="H254" s="349">
        <v>3962</v>
      </c>
      <c r="I254" s="349">
        <v>1</v>
      </c>
      <c r="J254" s="349">
        <v>7</v>
      </c>
    </row>
    <row r="255" spans="1:10" ht="12.75">
      <c r="A255" s="360">
        <v>12</v>
      </c>
      <c r="B255" s="348" t="s">
        <v>467</v>
      </c>
      <c r="C255" s="349">
        <v>6425</v>
      </c>
      <c r="D255" s="349">
        <v>4536</v>
      </c>
      <c r="E255" s="350">
        <v>0.706</v>
      </c>
      <c r="F255" s="361">
        <v>1382</v>
      </c>
      <c r="G255" s="361">
        <v>1006</v>
      </c>
      <c r="H255" s="361">
        <v>4405</v>
      </c>
      <c r="I255" s="361">
        <v>34</v>
      </c>
      <c r="J255" s="349">
        <v>131</v>
      </c>
    </row>
    <row r="256" spans="1:10" ht="12.75">
      <c r="A256" s="360">
        <v>13</v>
      </c>
      <c r="B256" s="348" t="s">
        <v>468</v>
      </c>
      <c r="C256" s="349">
        <v>5733</v>
      </c>
      <c r="D256" s="349">
        <v>5369</v>
      </c>
      <c r="E256" s="350">
        <v>0.937</v>
      </c>
      <c r="F256" s="361">
        <v>1025</v>
      </c>
      <c r="G256" s="361">
        <v>951</v>
      </c>
      <c r="H256" s="361">
        <v>4077</v>
      </c>
      <c r="I256" s="361">
        <v>315</v>
      </c>
      <c r="J256" s="349">
        <v>1292</v>
      </c>
    </row>
    <row r="257" spans="1:10" ht="12.75">
      <c r="A257" s="360">
        <v>14</v>
      </c>
      <c r="B257" s="348" t="s">
        <v>469</v>
      </c>
      <c r="C257" s="349">
        <v>5057</v>
      </c>
      <c r="D257" s="349">
        <v>3542</v>
      </c>
      <c r="E257" s="350">
        <v>0.7</v>
      </c>
      <c r="F257" s="361">
        <v>1019</v>
      </c>
      <c r="G257" s="361">
        <v>719</v>
      </c>
      <c r="H257" s="361">
        <v>3237</v>
      </c>
      <c r="I257" s="361">
        <v>101</v>
      </c>
      <c r="J257" s="349">
        <v>305</v>
      </c>
    </row>
    <row r="258" spans="1:10" ht="12.75">
      <c r="A258" s="360">
        <v>15</v>
      </c>
      <c r="B258" s="348" t="s">
        <v>470</v>
      </c>
      <c r="C258" s="349">
        <v>3304</v>
      </c>
      <c r="D258" s="349">
        <v>2638</v>
      </c>
      <c r="E258" s="350">
        <v>0.798</v>
      </c>
      <c r="F258" s="361">
        <v>687</v>
      </c>
      <c r="G258" s="361">
        <v>522</v>
      </c>
      <c r="H258" s="361">
        <v>2267</v>
      </c>
      <c r="I258" s="361">
        <v>89</v>
      </c>
      <c r="J258" s="349">
        <v>371</v>
      </c>
    </row>
    <row r="259" spans="1:10" ht="12.75">
      <c r="A259" s="360">
        <v>16</v>
      </c>
      <c r="B259" s="348" t="s">
        <v>471</v>
      </c>
      <c r="C259" s="349">
        <v>4474</v>
      </c>
      <c r="D259" s="349">
        <v>3120</v>
      </c>
      <c r="E259" s="350">
        <v>0.697</v>
      </c>
      <c r="F259" s="361">
        <v>1028</v>
      </c>
      <c r="G259" s="361">
        <v>734</v>
      </c>
      <c r="H259" s="361">
        <v>3120</v>
      </c>
      <c r="I259" s="361">
        <v>0</v>
      </c>
      <c r="J259" s="349">
        <v>0</v>
      </c>
    </row>
    <row r="260" spans="1:10" ht="12.75">
      <c r="A260" s="360">
        <v>17</v>
      </c>
      <c r="B260" s="348" t="s">
        <v>472</v>
      </c>
      <c r="C260" s="349">
        <v>4512</v>
      </c>
      <c r="D260" s="349">
        <v>4049</v>
      </c>
      <c r="E260" s="350">
        <v>0.897</v>
      </c>
      <c r="F260" s="361">
        <v>837</v>
      </c>
      <c r="G260" s="361">
        <v>747</v>
      </c>
      <c r="H260" s="361">
        <v>3758</v>
      </c>
      <c r="I260" s="361">
        <v>72</v>
      </c>
      <c r="J260" s="349">
        <v>291</v>
      </c>
    </row>
    <row r="261" spans="1:84" s="414" customFormat="1" ht="19.5" customHeight="1">
      <c r="A261" s="362" t="s">
        <v>473</v>
      </c>
      <c r="B261" s="363" t="s">
        <v>960</v>
      </c>
      <c r="C261" s="358">
        <v>64263</v>
      </c>
      <c r="D261" s="358">
        <v>61985</v>
      </c>
      <c r="E261" s="359">
        <v>0.9645519194559855</v>
      </c>
      <c r="F261" s="358">
        <v>6562</v>
      </c>
      <c r="G261" s="358">
        <v>5832</v>
      </c>
      <c r="H261" s="358">
        <v>22954</v>
      </c>
      <c r="I261" s="358">
        <v>9441</v>
      </c>
      <c r="J261" s="358">
        <v>39031</v>
      </c>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410"/>
      <c r="AJ261" s="410"/>
      <c r="AK261" s="410"/>
      <c r="AL261" s="410"/>
      <c r="AM261" s="410"/>
      <c r="AN261" s="410"/>
      <c r="AO261" s="410"/>
      <c r="AP261" s="410"/>
      <c r="AQ261" s="410"/>
      <c r="AR261" s="410"/>
      <c r="AS261" s="410"/>
      <c r="AT261" s="410"/>
      <c r="AU261" s="410"/>
      <c r="AV261" s="410"/>
      <c r="AW261" s="410"/>
      <c r="AX261" s="410"/>
      <c r="AY261" s="410"/>
      <c r="AZ261" s="410"/>
      <c r="BA261" s="410"/>
      <c r="BB261" s="410"/>
      <c r="BC261" s="410"/>
      <c r="BD261" s="410"/>
      <c r="BE261" s="410"/>
      <c r="BF261" s="410"/>
      <c r="BG261" s="410"/>
      <c r="BH261" s="410"/>
      <c r="BI261" s="410"/>
      <c r="BJ261" s="410"/>
      <c r="BK261" s="410"/>
      <c r="BL261" s="410"/>
      <c r="BM261" s="410"/>
      <c r="BN261" s="410"/>
      <c r="BO261" s="410"/>
      <c r="BP261" s="410"/>
      <c r="BQ261" s="410"/>
      <c r="BR261" s="410"/>
      <c r="BS261" s="410"/>
      <c r="BT261" s="410"/>
      <c r="BU261" s="410"/>
      <c r="BV261" s="410"/>
      <c r="BW261" s="410"/>
      <c r="BX261" s="410"/>
      <c r="BY261" s="410"/>
      <c r="BZ261" s="410"/>
      <c r="CA261" s="410"/>
      <c r="CB261" s="410"/>
      <c r="CC261" s="410"/>
      <c r="CD261" s="410"/>
      <c r="CE261" s="410"/>
      <c r="CF261" s="410"/>
    </row>
    <row r="262" spans="1:84" ht="12.75">
      <c r="A262" s="360">
        <v>1</v>
      </c>
      <c r="B262" s="348" t="s">
        <v>215</v>
      </c>
      <c r="C262" s="349">
        <v>5824</v>
      </c>
      <c r="D262" s="349">
        <v>5554</v>
      </c>
      <c r="E262" s="350">
        <v>0.954</v>
      </c>
      <c r="F262" s="349">
        <v>1410</v>
      </c>
      <c r="G262" s="349">
        <v>1326</v>
      </c>
      <c r="H262" s="349">
        <v>5223</v>
      </c>
      <c r="I262" s="349">
        <v>96</v>
      </c>
      <c r="J262" s="349">
        <v>331</v>
      </c>
      <c r="CF262" s="415"/>
    </row>
    <row r="263" spans="1:10" ht="12.75">
      <c r="A263" s="360">
        <v>2</v>
      </c>
      <c r="B263" s="348" t="s">
        <v>216</v>
      </c>
      <c r="C263" s="349">
        <v>6032</v>
      </c>
      <c r="D263" s="349">
        <v>6003</v>
      </c>
      <c r="E263" s="350">
        <v>0.995</v>
      </c>
      <c r="F263" s="349">
        <v>10</v>
      </c>
      <c r="G263" s="349">
        <v>7</v>
      </c>
      <c r="H263" s="349">
        <v>17</v>
      </c>
      <c r="I263" s="349">
        <v>1445</v>
      </c>
      <c r="J263" s="349">
        <v>5986</v>
      </c>
    </row>
    <row r="264" spans="1:10" ht="12.75">
      <c r="A264" s="360">
        <v>3</v>
      </c>
      <c r="B264" s="348" t="s">
        <v>474</v>
      </c>
      <c r="C264" s="349">
        <v>4736</v>
      </c>
      <c r="D264" s="349">
        <v>4494</v>
      </c>
      <c r="E264" s="350">
        <v>0.949</v>
      </c>
      <c r="F264" s="349">
        <v>1197</v>
      </c>
      <c r="G264" s="349">
        <v>1154</v>
      </c>
      <c r="H264" s="349">
        <v>4167</v>
      </c>
      <c r="I264" s="349">
        <v>89</v>
      </c>
      <c r="J264" s="349">
        <v>327</v>
      </c>
    </row>
    <row r="265" spans="1:10" ht="12.75">
      <c r="A265" s="360">
        <v>4</v>
      </c>
      <c r="B265" s="348" t="s">
        <v>475</v>
      </c>
      <c r="C265" s="349">
        <v>8338</v>
      </c>
      <c r="D265" s="349">
        <v>7574</v>
      </c>
      <c r="E265" s="350">
        <v>0.908</v>
      </c>
      <c r="F265" s="361">
        <v>1849</v>
      </c>
      <c r="G265" s="361">
        <v>1646</v>
      </c>
      <c r="H265" s="361">
        <v>6278</v>
      </c>
      <c r="I265" s="361">
        <v>330</v>
      </c>
      <c r="J265" s="349">
        <v>1296</v>
      </c>
    </row>
    <row r="266" spans="1:10" ht="12.75">
      <c r="A266" s="360">
        <v>5</v>
      </c>
      <c r="B266" s="348" t="s">
        <v>217</v>
      </c>
      <c r="C266" s="349">
        <v>4693</v>
      </c>
      <c r="D266" s="349">
        <v>4423</v>
      </c>
      <c r="E266" s="350">
        <v>0.942</v>
      </c>
      <c r="F266" s="349">
        <v>355</v>
      </c>
      <c r="G266" s="349">
        <v>15</v>
      </c>
      <c r="H266" s="349">
        <v>77</v>
      </c>
      <c r="I266" s="349">
        <v>1168</v>
      </c>
      <c r="J266" s="349">
        <v>4346</v>
      </c>
    </row>
    <row r="267" spans="1:10" ht="12.75">
      <c r="A267" s="360">
        <v>6</v>
      </c>
      <c r="B267" s="348" t="s">
        <v>218</v>
      </c>
      <c r="C267" s="349">
        <v>4858</v>
      </c>
      <c r="D267" s="349">
        <v>4848</v>
      </c>
      <c r="E267" s="350">
        <v>0.998</v>
      </c>
      <c r="F267" s="361">
        <v>6</v>
      </c>
      <c r="G267" s="361">
        <v>5</v>
      </c>
      <c r="H267" s="361">
        <v>16</v>
      </c>
      <c r="I267" s="361">
        <v>1081</v>
      </c>
      <c r="J267" s="349">
        <v>4832</v>
      </c>
    </row>
    <row r="268" spans="1:10" ht="12.75">
      <c r="A268" s="360">
        <v>7</v>
      </c>
      <c r="B268" s="348" t="s">
        <v>219</v>
      </c>
      <c r="C268" s="349">
        <v>2568</v>
      </c>
      <c r="D268" s="349">
        <v>2568</v>
      </c>
      <c r="E268" s="350">
        <v>1</v>
      </c>
      <c r="F268" s="361">
        <v>2</v>
      </c>
      <c r="G268" s="361">
        <v>0</v>
      </c>
      <c r="H268" s="361">
        <v>0</v>
      </c>
      <c r="I268" s="361">
        <v>624</v>
      </c>
      <c r="J268" s="349">
        <v>2568</v>
      </c>
    </row>
    <row r="269" spans="1:10" ht="12.75">
      <c r="A269" s="360">
        <v>8</v>
      </c>
      <c r="B269" s="348" t="s">
        <v>220</v>
      </c>
      <c r="C269" s="349">
        <v>7258</v>
      </c>
      <c r="D269" s="349">
        <v>7042</v>
      </c>
      <c r="E269" s="350">
        <v>0.97</v>
      </c>
      <c r="F269" s="361">
        <v>1700</v>
      </c>
      <c r="G269" s="361">
        <v>1647</v>
      </c>
      <c r="H269" s="361">
        <v>7042</v>
      </c>
      <c r="I269" s="361">
        <v>6</v>
      </c>
      <c r="J269" s="349">
        <v>0</v>
      </c>
    </row>
    <row r="270" spans="1:10" ht="12.75">
      <c r="A270" s="360">
        <v>9</v>
      </c>
      <c r="B270" s="348" t="s">
        <v>221</v>
      </c>
      <c r="C270" s="349">
        <v>11918</v>
      </c>
      <c r="D270" s="349">
        <v>11851</v>
      </c>
      <c r="E270" s="350">
        <v>0.994</v>
      </c>
      <c r="F270" s="361">
        <v>0</v>
      </c>
      <c r="G270" s="361">
        <v>0</v>
      </c>
      <c r="H270" s="361">
        <v>0</v>
      </c>
      <c r="I270" s="361">
        <v>2954</v>
      </c>
      <c r="J270" s="349">
        <v>11851</v>
      </c>
    </row>
    <row r="271" spans="1:10" ht="12.75">
      <c r="A271" s="360">
        <v>10</v>
      </c>
      <c r="B271" s="348" t="s">
        <v>222</v>
      </c>
      <c r="C271" s="349">
        <v>8038</v>
      </c>
      <c r="D271" s="349">
        <v>7628</v>
      </c>
      <c r="E271" s="350">
        <v>0.949</v>
      </c>
      <c r="F271" s="361">
        <v>33</v>
      </c>
      <c r="G271" s="361">
        <v>32</v>
      </c>
      <c r="H271" s="361">
        <v>134</v>
      </c>
      <c r="I271" s="361">
        <v>1648</v>
      </c>
      <c r="J271" s="349">
        <v>7494</v>
      </c>
    </row>
    <row r="272" spans="1:84" s="414" customFormat="1" ht="19.5" customHeight="1">
      <c r="A272" s="362" t="s">
        <v>476</v>
      </c>
      <c r="B272" s="363" t="s">
        <v>959</v>
      </c>
      <c r="C272" s="358">
        <v>44210</v>
      </c>
      <c r="D272" s="358">
        <v>42543</v>
      </c>
      <c r="E272" s="359">
        <v>0.9622935987333182</v>
      </c>
      <c r="F272" s="358">
        <v>9362</v>
      </c>
      <c r="G272" s="358">
        <v>8317</v>
      </c>
      <c r="H272" s="358">
        <v>31370</v>
      </c>
      <c r="I272" s="358">
        <v>2878</v>
      </c>
      <c r="J272" s="358">
        <v>10644</v>
      </c>
      <c r="K272" s="410"/>
      <c r="L272" s="410"/>
      <c r="M272" s="410"/>
      <c r="N272" s="410"/>
      <c r="O272" s="410"/>
      <c r="P272" s="410"/>
      <c r="Q272" s="410"/>
      <c r="R272" s="410"/>
      <c r="S272" s="410"/>
      <c r="T272" s="410"/>
      <c r="U272" s="410"/>
      <c r="V272" s="410"/>
      <c r="W272" s="410"/>
      <c r="X272" s="410"/>
      <c r="Y272" s="410"/>
      <c r="Z272" s="410"/>
      <c r="AA272" s="410"/>
      <c r="AB272" s="410"/>
      <c r="AC272" s="410"/>
      <c r="AD272" s="410"/>
      <c r="AE272" s="410"/>
      <c r="AF272" s="410"/>
      <c r="AG272" s="410"/>
      <c r="AH272" s="410"/>
      <c r="AI272" s="410"/>
      <c r="AJ272" s="410"/>
      <c r="AK272" s="410"/>
      <c r="AL272" s="410"/>
      <c r="AM272" s="410"/>
      <c r="AN272" s="410"/>
      <c r="AO272" s="410"/>
      <c r="AP272" s="410"/>
      <c r="AQ272" s="410"/>
      <c r="AR272" s="410"/>
      <c r="AS272" s="410"/>
      <c r="AT272" s="410"/>
      <c r="AU272" s="410"/>
      <c r="AV272" s="410"/>
      <c r="AW272" s="410"/>
      <c r="AX272" s="410"/>
      <c r="AY272" s="410"/>
      <c r="AZ272" s="410"/>
      <c r="BA272" s="410"/>
      <c r="BB272" s="410"/>
      <c r="BC272" s="410"/>
      <c r="BD272" s="410"/>
      <c r="BE272" s="410"/>
      <c r="BF272" s="410"/>
      <c r="BG272" s="410"/>
      <c r="BH272" s="410"/>
      <c r="BI272" s="410"/>
      <c r="BJ272" s="410"/>
      <c r="BK272" s="410"/>
      <c r="BL272" s="410"/>
      <c r="BM272" s="410"/>
      <c r="BN272" s="410"/>
      <c r="BO272" s="410"/>
      <c r="BP272" s="410"/>
      <c r="BQ272" s="410"/>
      <c r="BR272" s="410"/>
      <c r="BS272" s="410"/>
      <c r="BT272" s="410"/>
      <c r="BU272" s="410"/>
      <c r="BV272" s="410"/>
      <c r="BW272" s="410"/>
      <c r="BX272" s="410"/>
      <c r="BY272" s="410"/>
      <c r="BZ272" s="410"/>
      <c r="CA272" s="410"/>
      <c r="CB272" s="410"/>
      <c r="CC272" s="410"/>
      <c r="CD272" s="410"/>
      <c r="CE272" s="410"/>
      <c r="CF272" s="410"/>
    </row>
    <row r="273" spans="1:10" ht="12.75">
      <c r="A273" s="360">
        <v>1</v>
      </c>
      <c r="B273" s="348" t="s">
        <v>223</v>
      </c>
      <c r="C273" s="349">
        <v>8034</v>
      </c>
      <c r="D273" s="349">
        <v>7728</v>
      </c>
      <c r="E273" s="350">
        <v>0.962</v>
      </c>
      <c r="F273" s="349">
        <v>1962</v>
      </c>
      <c r="G273" s="349">
        <v>1895</v>
      </c>
      <c r="H273" s="349">
        <v>7329</v>
      </c>
      <c r="I273" s="349">
        <v>107</v>
      </c>
      <c r="J273" s="349">
        <v>399</v>
      </c>
    </row>
    <row r="274" spans="1:10" ht="12.75">
      <c r="A274" s="360">
        <v>2</v>
      </c>
      <c r="B274" s="348" t="s">
        <v>224</v>
      </c>
      <c r="C274" s="349">
        <v>9723</v>
      </c>
      <c r="D274" s="349">
        <v>9599</v>
      </c>
      <c r="E274" s="350">
        <v>0.987</v>
      </c>
      <c r="F274" s="349">
        <v>2300</v>
      </c>
      <c r="G274" s="349">
        <v>1760</v>
      </c>
      <c r="H274" s="349">
        <v>6874</v>
      </c>
      <c r="I274" s="349">
        <v>526</v>
      </c>
      <c r="J274" s="349">
        <v>2116</v>
      </c>
    </row>
    <row r="275" spans="1:10" ht="12.75">
      <c r="A275" s="360">
        <v>3</v>
      </c>
      <c r="B275" s="348" t="s">
        <v>225</v>
      </c>
      <c r="C275" s="349">
        <v>12198</v>
      </c>
      <c r="D275" s="349">
        <v>11576</v>
      </c>
      <c r="E275" s="350">
        <v>0.949</v>
      </c>
      <c r="F275" s="349">
        <v>2355</v>
      </c>
      <c r="G275" s="349">
        <v>2203</v>
      </c>
      <c r="H275" s="349">
        <v>8064</v>
      </c>
      <c r="I275" s="349">
        <v>989</v>
      </c>
      <c r="J275" s="349">
        <v>3592</v>
      </c>
    </row>
    <row r="276" spans="1:10" ht="12.75">
      <c r="A276" s="360">
        <v>4</v>
      </c>
      <c r="B276" s="348" t="s">
        <v>226</v>
      </c>
      <c r="C276" s="349">
        <v>3265</v>
      </c>
      <c r="D276" s="349">
        <v>3148</v>
      </c>
      <c r="E276" s="350">
        <v>0.964</v>
      </c>
      <c r="F276" s="361">
        <v>324</v>
      </c>
      <c r="G276" s="361">
        <v>231</v>
      </c>
      <c r="H276" s="361">
        <v>889</v>
      </c>
      <c r="I276" s="361">
        <v>626</v>
      </c>
      <c r="J276" s="349">
        <v>2259</v>
      </c>
    </row>
    <row r="277" spans="1:10" ht="12.75">
      <c r="A277" s="360">
        <v>5</v>
      </c>
      <c r="B277" s="348" t="s">
        <v>227</v>
      </c>
      <c r="C277" s="349">
        <v>3669</v>
      </c>
      <c r="D277" s="349">
        <v>3656</v>
      </c>
      <c r="E277" s="350">
        <v>0.996</v>
      </c>
      <c r="F277" s="361">
        <v>772</v>
      </c>
      <c r="G277" s="361">
        <v>769</v>
      </c>
      <c r="H277" s="361">
        <v>2869</v>
      </c>
      <c r="I277" s="361">
        <v>224</v>
      </c>
      <c r="J277" s="349">
        <v>787</v>
      </c>
    </row>
    <row r="278" spans="1:10" ht="12.75">
      <c r="A278" s="360">
        <v>6</v>
      </c>
      <c r="B278" s="348" t="s">
        <v>228</v>
      </c>
      <c r="C278" s="349">
        <v>7321</v>
      </c>
      <c r="D278" s="349">
        <v>6836</v>
      </c>
      <c r="E278" s="350">
        <v>0.934</v>
      </c>
      <c r="F278" s="361">
        <v>1649</v>
      </c>
      <c r="G278" s="361">
        <v>1459</v>
      </c>
      <c r="H278" s="361">
        <v>5345</v>
      </c>
      <c r="I278" s="361">
        <v>406</v>
      </c>
      <c r="J278" s="349">
        <v>1491</v>
      </c>
    </row>
    <row r="279" spans="1:84" s="414" customFormat="1" ht="19.5" customHeight="1">
      <c r="A279" s="416"/>
      <c r="B279" s="362" t="s">
        <v>477</v>
      </c>
      <c r="C279" s="358">
        <v>1213962</v>
      </c>
      <c r="D279" s="358">
        <v>1044092</v>
      </c>
      <c r="E279" s="359">
        <v>0.8600697550664683</v>
      </c>
      <c r="F279" s="358">
        <v>257505</v>
      </c>
      <c r="G279" s="358">
        <v>208516</v>
      </c>
      <c r="H279" s="358">
        <v>858909</v>
      </c>
      <c r="I279" s="358">
        <v>48049</v>
      </c>
      <c r="J279" s="358">
        <v>179778</v>
      </c>
      <c r="K279" s="410"/>
      <c r="L279" s="410"/>
      <c r="M279" s="410"/>
      <c r="N279" s="410"/>
      <c r="O279" s="410"/>
      <c r="P279" s="410"/>
      <c r="Q279" s="410"/>
      <c r="R279" s="410"/>
      <c r="S279" s="410"/>
      <c r="T279" s="410"/>
      <c r="U279" s="410"/>
      <c r="V279" s="410"/>
      <c r="W279" s="410"/>
      <c r="X279" s="410"/>
      <c r="Y279" s="410"/>
      <c r="Z279" s="410"/>
      <c r="AA279" s="410"/>
      <c r="AB279" s="410"/>
      <c r="AC279" s="410"/>
      <c r="AD279" s="410"/>
      <c r="AE279" s="410"/>
      <c r="AF279" s="410"/>
      <c r="AG279" s="410"/>
      <c r="AH279" s="410"/>
      <c r="AI279" s="410"/>
      <c r="AJ279" s="410"/>
      <c r="AK279" s="410"/>
      <c r="AL279" s="410"/>
      <c r="AM279" s="410"/>
      <c r="AN279" s="410"/>
      <c r="AO279" s="410"/>
      <c r="AP279" s="410"/>
      <c r="AQ279" s="410"/>
      <c r="AR279" s="410"/>
      <c r="AS279" s="410"/>
      <c r="AT279" s="410"/>
      <c r="AU279" s="410"/>
      <c r="AV279" s="410"/>
      <c r="AW279" s="410"/>
      <c r="AX279" s="410"/>
      <c r="AY279" s="410"/>
      <c r="AZ279" s="410"/>
      <c r="BA279" s="410"/>
      <c r="BB279" s="410"/>
      <c r="BC279" s="410"/>
      <c r="BD279" s="410"/>
      <c r="BE279" s="410"/>
      <c r="BF279" s="410"/>
      <c r="BG279" s="410"/>
      <c r="BH279" s="410"/>
      <c r="BI279" s="410"/>
      <c r="BJ279" s="410"/>
      <c r="BK279" s="410"/>
      <c r="BL279" s="410"/>
      <c r="BM279" s="410"/>
      <c r="BN279" s="410"/>
      <c r="BO279" s="410"/>
      <c r="BP279" s="410"/>
      <c r="BQ279" s="410"/>
      <c r="BR279" s="410"/>
      <c r="BS279" s="410"/>
      <c r="BT279" s="410"/>
      <c r="BU279" s="410"/>
      <c r="BV279" s="410"/>
      <c r="BW279" s="410"/>
      <c r="BX279" s="410"/>
      <c r="BY279" s="410"/>
      <c r="BZ279" s="410"/>
      <c r="CA279" s="410"/>
      <c r="CB279" s="410"/>
      <c r="CC279" s="410"/>
      <c r="CD279" s="410"/>
      <c r="CE279" s="410"/>
      <c r="CF279" s="410"/>
    </row>
  </sheetData>
  <sheetProtection/>
  <mergeCells count="7">
    <mergeCell ref="A1:J1"/>
    <mergeCell ref="A3:A4"/>
    <mergeCell ref="B3:B4"/>
    <mergeCell ref="C3:E3"/>
    <mergeCell ref="I3:J3"/>
    <mergeCell ref="F3:H3"/>
    <mergeCell ref="A2:J2"/>
  </mergeCells>
  <printOptions horizontalCentered="1"/>
  <pageMargins left="0.5905511811023623" right="0.5905511811023623" top="0.7086614173228347" bottom="0.5905511811023623" header="0.7480314960629921" footer="0.31496062992125984"/>
  <pageSetup firstPageNumber="29" useFirstPageNumber="1" horizontalDpi="600" verticalDpi="600" orientation="portrait" paperSize="9" scale="85"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CT278"/>
  <sheetViews>
    <sheetView zoomScalePageLayoutView="0" workbookViewId="0" topLeftCell="A1">
      <selection activeCell="E13" sqref="E13"/>
    </sheetView>
  </sheetViews>
  <sheetFormatPr defaultColWidth="8" defaultRowHeight="15"/>
  <cols>
    <col min="1" max="1" width="5.19921875" style="417" customWidth="1"/>
    <col min="2" max="2" width="16.19921875" style="411" customWidth="1"/>
    <col min="3" max="3" width="9.69921875" style="418" customWidth="1"/>
    <col min="4" max="4" width="10.8984375" style="418" customWidth="1"/>
    <col min="5" max="5" width="11.8984375" style="419" customWidth="1"/>
    <col min="6" max="6" width="13.3984375" style="418" customWidth="1"/>
    <col min="7" max="7" width="13.3984375" style="419" customWidth="1"/>
    <col min="8" max="96" width="8" style="411" customWidth="1"/>
    <col min="97" max="98" width="8" style="412" customWidth="1"/>
    <col min="99" max="16384" width="8" style="411" customWidth="1"/>
  </cols>
  <sheetData>
    <row r="1" spans="1:7" ht="22.5" customHeight="1">
      <c r="A1" s="1450" t="s">
        <v>1145</v>
      </c>
      <c r="B1" s="1450"/>
      <c r="C1" s="1450"/>
      <c r="D1" s="1450"/>
      <c r="E1" s="1450"/>
      <c r="F1" s="1450"/>
      <c r="G1" s="1450"/>
    </row>
    <row r="2" spans="1:7" ht="30.75" customHeight="1">
      <c r="A2" s="1454" t="e">
        <f>+#REF!</f>
        <v>#REF!</v>
      </c>
      <c r="B2" s="1454"/>
      <c r="C2" s="1454"/>
      <c r="D2" s="1454"/>
      <c r="E2" s="1454"/>
      <c r="F2" s="1454"/>
      <c r="G2" s="1454"/>
    </row>
    <row r="3" spans="1:98" s="409" customFormat="1" ht="51.75" customHeight="1">
      <c r="A3" s="347"/>
      <c r="B3" s="347" t="s">
        <v>229</v>
      </c>
      <c r="C3" s="351" t="s">
        <v>730</v>
      </c>
      <c r="D3" s="351" t="s">
        <v>1000</v>
      </c>
      <c r="E3" s="352" t="s">
        <v>478</v>
      </c>
      <c r="F3" s="351" t="s">
        <v>1001</v>
      </c>
      <c r="G3" s="352" t="s">
        <v>479</v>
      </c>
      <c r="CS3" s="410"/>
      <c r="CT3" s="410"/>
    </row>
    <row r="4" spans="1:7" ht="12.75" customHeight="1">
      <c r="A4" s="353">
        <v>1</v>
      </c>
      <c r="B4" s="353">
        <v>2</v>
      </c>
      <c r="C4" s="354">
        <v>3</v>
      </c>
      <c r="D4" s="354">
        <v>4</v>
      </c>
      <c r="E4" s="355">
        <v>5</v>
      </c>
      <c r="F4" s="354">
        <v>6</v>
      </c>
      <c r="G4" s="355">
        <v>7</v>
      </c>
    </row>
    <row r="5" spans="1:98" s="409" customFormat="1" ht="19.5" customHeight="1">
      <c r="A5" s="356" t="s">
        <v>486</v>
      </c>
      <c r="B5" s="357" t="s">
        <v>239</v>
      </c>
      <c r="C5" s="358">
        <v>36134</v>
      </c>
      <c r="D5" s="358">
        <v>33648</v>
      </c>
      <c r="E5" s="359">
        <v>0.9312005313555101</v>
      </c>
      <c r="F5" s="358">
        <v>20172</v>
      </c>
      <c r="G5" s="359">
        <v>0.5582553827420158</v>
      </c>
      <c r="CS5" s="410"/>
      <c r="CT5" s="410"/>
    </row>
    <row r="6" spans="1:7" ht="12.75">
      <c r="A6" s="360">
        <v>1</v>
      </c>
      <c r="B6" s="348" t="s">
        <v>240</v>
      </c>
      <c r="C6" s="349">
        <v>1747</v>
      </c>
      <c r="D6" s="349">
        <v>1722</v>
      </c>
      <c r="E6" s="350">
        <v>0.986</v>
      </c>
      <c r="F6" s="349">
        <v>1585</v>
      </c>
      <c r="G6" s="350">
        <v>0.907</v>
      </c>
    </row>
    <row r="7" spans="1:7" ht="12.75">
      <c r="A7" s="360">
        <v>2</v>
      </c>
      <c r="B7" s="348" t="s">
        <v>241</v>
      </c>
      <c r="C7" s="349">
        <v>1187</v>
      </c>
      <c r="D7" s="349">
        <v>1082</v>
      </c>
      <c r="E7" s="350">
        <v>0.912</v>
      </c>
      <c r="F7" s="349">
        <v>728</v>
      </c>
      <c r="G7" s="350">
        <v>0.613</v>
      </c>
    </row>
    <row r="8" spans="1:7" ht="12.75">
      <c r="A8" s="360">
        <v>3</v>
      </c>
      <c r="B8" s="348" t="s">
        <v>242</v>
      </c>
      <c r="C8" s="349">
        <v>826</v>
      </c>
      <c r="D8" s="349">
        <v>821</v>
      </c>
      <c r="E8" s="350">
        <v>0.994</v>
      </c>
      <c r="F8" s="349">
        <v>494</v>
      </c>
      <c r="G8" s="350">
        <v>0.598</v>
      </c>
    </row>
    <row r="9" spans="1:7" ht="12.75">
      <c r="A9" s="360">
        <v>4</v>
      </c>
      <c r="B9" s="348" t="s">
        <v>243</v>
      </c>
      <c r="C9" s="349">
        <v>933</v>
      </c>
      <c r="D9" s="349">
        <v>799</v>
      </c>
      <c r="E9" s="350">
        <v>0.856</v>
      </c>
      <c r="F9" s="349">
        <v>520</v>
      </c>
      <c r="G9" s="350">
        <v>0.557</v>
      </c>
    </row>
    <row r="10" spans="1:7" ht="12.75">
      <c r="A10" s="360">
        <v>5</v>
      </c>
      <c r="B10" s="348" t="s">
        <v>244</v>
      </c>
      <c r="C10" s="349">
        <v>1161</v>
      </c>
      <c r="D10" s="349">
        <v>1066</v>
      </c>
      <c r="E10" s="350">
        <v>0.918</v>
      </c>
      <c r="F10" s="349">
        <v>541</v>
      </c>
      <c r="G10" s="350">
        <v>0.466</v>
      </c>
    </row>
    <row r="11" spans="1:7" ht="12.75">
      <c r="A11" s="360">
        <v>6</v>
      </c>
      <c r="B11" s="348" t="s">
        <v>245</v>
      </c>
      <c r="C11" s="349">
        <v>731</v>
      </c>
      <c r="D11" s="349">
        <v>691</v>
      </c>
      <c r="E11" s="350">
        <v>0.945</v>
      </c>
      <c r="F11" s="349">
        <v>551</v>
      </c>
      <c r="G11" s="350">
        <v>0.754</v>
      </c>
    </row>
    <row r="12" spans="1:7" ht="12.75">
      <c r="A12" s="360">
        <v>7</v>
      </c>
      <c r="B12" s="348" t="s">
        <v>246</v>
      </c>
      <c r="C12" s="349">
        <v>1365</v>
      </c>
      <c r="D12" s="349">
        <v>1280</v>
      </c>
      <c r="E12" s="350">
        <v>0.938</v>
      </c>
      <c r="F12" s="349">
        <v>712</v>
      </c>
      <c r="G12" s="350">
        <v>0.522</v>
      </c>
    </row>
    <row r="13" spans="1:7" ht="12.75">
      <c r="A13" s="360">
        <v>8</v>
      </c>
      <c r="B13" s="348" t="s">
        <v>247</v>
      </c>
      <c r="C13" s="349">
        <v>478</v>
      </c>
      <c r="D13" s="349">
        <v>478</v>
      </c>
      <c r="E13" s="350">
        <v>1</v>
      </c>
      <c r="F13" s="349">
        <v>239</v>
      </c>
      <c r="G13" s="350">
        <v>0.5</v>
      </c>
    </row>
    <row r="14" spans="1:7" ht="12.75">
      <c r="A14" s="360">
        <v>9</v>
      </c>
      <c r="B14" s="348" t="s">
        <v>1002</v>
      </c>
      <c r="C14" s="349">
        <v>1295</v>
      </c>
      <c r="D14" s="349">
        <v>1275</v>
      </c>
      <c r="E14" s="350">
        <v>0.985</v>
      </c>
      <c r="F14" s="349">
        <v>908</v>
      </c>
      <c r="G14" s="350">
        <v>0.701</v>
      </c>
    </row>
    <row r="15" spans="1:7" ht="12.75">
      <c r="A15" s="360">
        <v>10</v>
      </c>
      <c r="B15" s="348" t="s">
        <v>248</v>
      </c>
      <c r="C15" s="349">
        <v>1614</v>
      </c>
      <c r="D15" s="349">
        <v>1340</v>
      </c>
      <c r="E15" s="350">
        <v>0.83</v>
      </c>
      <c r="F15" s="349">
        <v>1103</v>
      </c>
      <c r="G15" s="350">
        <v>0.683</v>
      </c>
    </row>
    <row r="16" spans="1:7" ht="12.75">
      <c r="A16" s="360">
        <v>11</v>
      </c>
      <c r="B16" s="348" t="s">
        <v>249</v>
      </c>
      <c r="C16" s="349">
        <v>851</v>
      </c>
      <c r="D16" s="349">
        <v>800</v>
      </c>
      <c r="E16" s="350">
        <v>0.94</v>
      </c>
      <c r="F16" s="349">
        <v>447</v>
      </c>
      <c r="G16" s="350">
        <v>0.525</v>
      </c>
    </row>
    <row r="17" spans="1:7" ht="12.75">
      <c r="A17" s="360">
        <v>12</v>
      </c>
      <c r="B17" s="348" t="s">
        <v>250</v>
      </c>
      <c r="C17" s="349">
        <v>1054</v>
      </c>
      <c r="D17" s="349">
        <v>932</v>
      </c>
      <c r="E17" s="350">
        <v>0.884</v>
      </c>
      <c r="F17" s="349">
        <v>554</v>
      </c>
      <c r="G17" s="350">
        <v>0.526</v>
      </c>
    </row>
    <row r="18" spans="1:7" ht="12.75">
      <c r="A18" s="360">
        <v>13</v>
      </c>
      <c r="B18" s="348" t="s">
        <v>251</v>
      </c>
      <c r="C18" s="349">
        <v>955</v>
      </c>
      <c r="D18" s="349">
        <v>898</v>
      </c>
      <c r="E18" s="350">
        <v>0.94</v>
      </c>
      <c r="F18" s="349">
        <v>421</v>
      </c>
      <c r="G18" s="350">
        <v>0.441</v>
      </c>
    </row>
    <row r="19" spans="1:7" ht="12.75">
      <c r="A19" s="360">
        <v>14</v>
      </c>
      <c r="B19" s="348" t="s">
        <v>252</v>
      </c>
      <c r="C19" s="349">
        <v>1914</v>
      </c>
      <c r="D19" s="349">
        <v>1630</v>
      </c>
      <c r="E19" s="350">
        <v>0.852</v>
      </c>
      <c r="F19" s="349">
        <v>654</v>
      </c>
      <c r="G19" s="350">
        <v>0.342</v>
      </c>
    </row>
    <row r="20" spans="1:7" ht="12.75">
      <c r="A20" s="360">
        <v>15</v>
      </c>
      <c r="B20" s="348" t="s">
        <v>1003</v>
      </c>
      <c r="C20" s="349">
        <v>1092</v>
      </c>
      <c r="D20" s="349">
        <v>1068</v>
      </c>
      <c r="E20" s="350">
        <v>0.978</v>
      </c>
      <c r="F20" s="349">
        <v>1038</v>
      </c>
      <c r="G20" s="350">
        <v>0.951</v>
      </c>
    </row>
    <row r="21" spans="1:7" ht="12.75">
      <c r="A21" s="360">
        <v>16</v>
      </c>
      <c r="B21" s="348" t="s">
        <v>1004</v>
      </c>
      <c r="C21" s="349">
        <v>1136</v>
      </c>
      <c r="D21" s="349">
        <v>1114</v>
      </c>
      <c r="E21" s="350">
        <v>0.981</v>
      </c>
      <c r="F21" s="349">
        <v>849</v>
      </c>
      <c r="G21" s="350">
        <v>0.747</v>
      </c>
    </row>
    <row r="22" spans="1:7" ht="12.75">
      <c r="A22" s="360">
        <v>17</v>
      </c>
      <c r="B22" s="348" t="s">
        <v>253</v>
      </c>
      <c r="C22" s="349">
        <v>516</v>
      </c>
      <c r="D22" s="349">
        <v>495</v>
      </c>
      <c r="E22" s="350">
        <v>0.959</v>
      </c>
      <c r="F22" s="349">
        <v>249</v>
      </c>
      <c r="G22" s="350">
        <v>0.483</v>
      </c>
    </row>
    <row r="23" spans="1:7" ht="12.75">
      <c r="A23" s="360">
        <v>18</v>
      </c>
      <c r="B23" s="348" t="s">
        <v>254</v>
      </c>
      <c r="C23" s="349">
        <v>1348</v>
      </c>
      <c r="D23" s="349">
        <v>1279</v>
      </c>
      <c r="E23" s="350">
        <v>0.949</v>
      </c>
      <c r="F23" s="349">
        <v>671</v>
      </c>
      <c r="G23" s="350">
        <v>0.498</v>
      </c>
    </row>
    <row r="24" spans="1:7" ht="12.75">
      <c r="A24" s="360">
        <v>19</v>
      </c>
      <c r="B24" s="348" t="s">
        <v>255</v>
      </c>
      <c r="C24" s="349">
        <v>1953</v>
      </c>
      <c r="D24" s="349">
        <v>1849</v>
      </c>
      <c r="E24" s="350">
        <v>0.947</v>
      </c>
      <c r="F24" s="349">
        <v>855</v>
      </c>
      <c r="G24" s="350">
        <v>0.438</v>
      </c>
    </row>
    <row r="25" spans="1:7" ht="12.75">
      <c r="A25" s="360">
        <v>20</v>
      </c>
      <c r="B25" s="348" t="s">
        <v>256</v>
      </c>
      <c r="C25" s="349">
        <v>1166</v>
      </c>
      <c r="D25" s="349">
        <v>1160</v>
      </c>
      <c r="E25" s="350">
        <v>0.995</v>
      </c>
      <c r="F25" s="349">
        <v>634</v>
      </c>
      <c r="G25" s="350">
        <v>0.544</v>
      </c>
    </row>
    <row r="26" spans="1:7" ht="12.75">
      <c r="A26" s="360">
        <v>21</v>
      </c>
      <c r="B26" s="348" t="s">
        <v>1005</v>
      </c>
      <c r="C26" s="349">
        <v>693</v>
      </c>
      <c r="D26" s="349">
        <v>662</v>
      </c>
      <c r="E26" s="350">
        <v>0.955</v>
      </c>
      <c r="F26" s="349">
        <v>552</v>
      </c>
      <c r="G26" s="350">
        <v>0.797</v>
      </c>
    </row>
    <row r="27" spans="1:7" ht="12.75">
      <c r="A27" s="360">
        <v>22</v>
      </c>
      <c r="B27" s="348" t="s">
        <v>257</v>
      </c>
      <c r="C27" s="349">
        <v>973</v>
      </c>
      <c r="D27" s="349">
        <v>936</v>
      </c>
      <c r="E27" s="350">
        <v>0.962</v>
      </c>
      <c r="F27" s="349">
        <v>414</v>
      </c>
      <c r="G27" s="350">
        <v>0.425</v>
      </c>
    </row>
    <row r="28" spans="1:7" ht="12.75">
      <c r="A28" s="360">
        <v>23</v>
      </c>
      <c r="B28" s="348" t="s">
        <v>258</v>
      </c>
      <c r="C28" s="349">
        <v>1326</v>
      </c>
      <c r="D28" s="349">
        <v>1293</v>
      </c>
      <c r="E28" s="350">
        <v>0.975</v>
      </c>
      <c r="F28" s="349">
        <v>539</v>
      </c>
      <c r="G28" s="350">
        <v>0.406</v>
      </c>
    </row>
    <row r="29" spans="1:7" ht="12.75">
      <c r="A29" s="360">
        <v>24</v>
      </c>
      <c r="B29" s="348" t="s">
        <v>259</v>
      </c>
      <c r="C29" s="349">
        <v>852</v>
      </c>
      <c r="D29" s="349">
        <v>808</v>
      </c>
      <c r="E29" s="350">
        <v>0.948</v>
      </c>
      <c r="F29" s="349">
        <v>494</v>
      </c>
      <c r="G29" s="350">
        <v>0.58</v>
      </c>
    </row>
    <row r="30" spans="1:7" ht="12.75">
      <c r="A30" s="360">
        <v>25</v>
      </c>
      <c r="B30" s="348" t="s">
        <v>260</v>
      </c>
      <c r="C30" s="349">
        <v>829</v>
      </c>
      <c r="D30" s="349">
        <v>765</v>
      </c>
      <c r="E30" s="350">
        <v>0.923</v>
      </c>
      <c r="F30" s="349">
        <v>507</v>
      </c>
      <c r="G30" s="350">
        <v>0.612</v>
      </c>
    </row>
    <row r="31" spans="1:7" ht="12.75">
      <c r="A31" s="360">
        <v>26</v>
      </c>
      <c r="B31" s="348" t="s">
        <v>261</v>
      </c>
      <c r="C31" s="349">
        <v>2014</v>
      </c>
      <c r="D31" s="349">
        <v>1952</v>
      </c>
      <c r="E31" s="350">
        <v>0.969</v>
      </c>
      <c r="F31" s="349">
        <v>1329</v>
      </c>
      <c r="G31" s="350">
        <v>0.66</v>
      </c>
    </row>
    <row r="32" spans="1:7" ht="12.75">
      <c r="A32" s="360">
        <v>27</v>
      </c>
      <c r="B32" s="348" t="s">
        <v>262</v>
      </c>
      <c r="C32" s="349">
        <v>1700</v>
      </c>
      <c r="D32" s="349">
        <v>1475</v>
      </c>
      <c r="E32" s="350">
        <v>0.868</v>
      </c>
      <c r="F32" s="349">
        <v>609</v>
      </c>
      <c r="G32" s="350">
        <v>0.358</v>
      </c>
    </row>
    <row r="33" spans="1:7" ht="12.75">
      <c r="A33" s="360">
        <v>28</v>
      </c>
      <c r="B33" s="348" t="s">
        <v>263</v>
      </c>
      <c r="C33" s="349">
        <v>1482</v>
      </c>
      <c r="D33" s="349">
        <v>1282</v>
      </c>
      <c r="E33" s="350">
        <v>0.865</v>
      </c>
      <c r="F33" s="349">
        <v>572</v>
      </c>
      <c r="G33" s="350">
        <v>0.386</v>
      </c>
    </row>
    <row r="34" spans="1:7" ht="12.75">
      <c r="A34" s="360">
        <v>29</v>
      </c>
      <c r="B34" s="348" t="s">
        <v>264</v>
      </c>
      <c r="C34" s="349">
        <v>897</v>
      </c>
      <c r="D34" s="349">
        <v>825</v>
      </c>
      <c r="E34" s="350">
        <v>0.92</v>
      </c>
      <c r="F34" s="349">
        <v>436</v>
      </c>
      <c r="G34" s="350">
        <v>0.486</v>
      </c>
    </row>
    <row r="35" spans="1:7" ht="12.75">
      <c r="A35" s="360">
        <v>30</v>
      </c>
      <c r="B35" s="348" t="s">
        <v>265</v>
      </c>
      <c r="C35" s="349">
        <v>990</v>
      </c>
      <c r="D35" s="349">
        <v>910</v>
      </c>
      <c r="E35" s="350">
        <v>0.919</v>
      </c>
      <c r="F35" s="349">
        <v>405</v>
      </c>
      <c r="G35" s="350">
        <v>0.409</v>
      </c>
    </row>
    <row r="36" spans="1:7" ht="12.75">
      <c r="A36" s="360">
        <v>31</v>
      </c>
      <c r="B36" s="348" t="s">
        <v>266</v>
      </c>
      <c r="C36" s="349">
        <v>1056</v>
      </c>
      <c r="D36" s="349">
        <v>961</v>
      </c>
      <c r="E36" s="350">
        <v>0.91</v>
      </c>
      <c r="F36" s="349">
        <v>562</v>
      </c>
      <c r="G36" s="350">
        <v>0.532</v>
      </c>
    </row>
    <row r="37" spans="1:98" s="409" customFormat="1" ht="19.5" customHeight="1">
      <c r="A37" s="362" t="s">
        <v>484</v>
      </c>
      <c r="B37" s="363" t="s">
        <v>267</v>
      </c>
      <c r="C37" s="358">
        <v>29035</v>
      </c>
      <c r="D37" s="358">
        <v>27741</v>
      </c>
      <c r="E37" s="359">
        <v>0.9554330979851903</v>
      </c>
      <c r="F37" s="358">
        <v>16041</v>
      </c>
      <c r="G37" s="359">
        <v>0.5524711555019803</v>
      </c>
      <c r="CS37" s="410"/>
      <c r="CT37" s="410"/>
    </row>
    <row r="38" spans="1:7" ht="12.75">
      <c r="A38" s="360">
        <v>1</v>
      </c>
      <c r="B38" s="348" t="s">
        <v>268</v>
      </c>
      <c r="C38" s="349">
        <v>1787</v>
      </c>
      <c r="D38" s="349">
        <v>1754</v>
      </c>
      <c r="E38" s="350">
        <v>0.982</v>
      </c>
      <c r="F38" s="349">
        <v>1570</v>
      </c>
      <c r="G38" s="350">
        <v>0.879</v>
      </c>
    </row>
    <row r="39" spans="1:7" ht="12.75">
      <c r="A39" s="360">
        <v>2</v>
      </c>
      <c r="B39" s="348" t="s">
        <v>269</v>
      </c>
      <c r="C39" s="349">
        <v>898</v>
      </c>
      <c r="D39" s="349">
        <v>843</v>
      </c>
      <c r="E39" s="350">
        <v>0.939</v>
      </c>
      <c r="F39" s="349">
        <v>427</v>
      </c>
      <c r="G39" s="350">
        <v>0.476</v>
      </c>
    </row>
    <row r="40" spans="1:7" ht="12.75">
      <c r="A40" s="360">
        <v>3</v>
      </c>
      <c r="B40" s="348" t="s">
        <v>270</v>
      </c>
      <c r="C40" s="349">
        <v>1362</v>
      </c>
      <c r="D40" s="349">
        <v>1272</v>
      </c>
      <c r="E40" s="350">
        <v>0.934</v>
      </c>
      <c r="F40" s="349">
        <v>691</v>
      </c>
      <c r="G40" s="350">
        <v>0.507</v>
      </c>
    </row>
    <row r="41" spans="1:7" ht="12.75">
      <c r="A41" s="360">
        <v>4</v>
      </c>
      <c r="B41" s="348" t="s">
        <v>271</v>
      </c>
      <c r="C41" s="349">
        <v>860</v>
      </c>
      <c r="D41" s="349">
        <v>804</v>
      </c>
      <c r="E41" s="350">
        <v>0.935</v>
      </c>
      <c r="F41" s="349">
        <v>544</v>
      </c>
      <c r="G41" s="350">
        <v>0.633</v>
      </c>
    </row>
    <row r="42" spans="1:7" ht="12.75">
      <c r="A42" s="360">
        <v>5</v>
      </c>
      <c r="B42" s="348" t="s">
        <v>272</v>
      </c>
      <c r="C42" s="349">
        <v>944</v>
      </c>
      <c r="D42" s="349">
        <v>905</v>
      </c>
      <c r="E42" s="350">
        <v>0.959</v>
      </c>
      <c r="F42" s="349">
        <v>540</v>
      </c>
      <c r="G42" s="350">
        <v>0.572</v>
      </c>
    </row>
    <row r="43" spans="1:7" ht="12.75">
      <c r="A43" s="360">
        <v>6</v>
      </c>
      <c r="B43" s="348" t="s">
        <v>273</v>
      </c>
      <c r="C43" s="349">
        <v>1642</v>
      </c>
      <c r="D43" s="349">
        <v>1588</v>
      </c>
      <c r="E43" s="350">
        <v>0.967</v>
      </c>
      <c r="F43" s="349">
        <v>1126</v>
      </c>
      <c r="G43" s="350">
        <v>0.686</v>
      </c>
    </row>
    <row r="44" spans="1:7" ht="12.75">
      <c r="A44" s="360">
        <v>7</v>
      </c>
      <c r="B44" s="348" t="s">
        <v>274</v>
      </c>
      <c r="C44" s="349">
        <v>902</v>
      </c>
      <c r="D44" s="349">
        <v>813</v>
      </c>
      <c r="E44" s="350">
        <v>0.901</v>
      </c>
      <c r="F44" s="349">
        <v>419</v>
      </c>
      <c r="G44" s="350">
        <v>0.465</v>
      </c>
    </row>
    <row r="45" spans="1:7" ht="12.75">
      <c r="A45" s="360">
        <v>8</v>
      </c>
      <c r="B45" s="348" t="s">
        <v>275</v>
      </c>
      <c r="C45" s="349">
        <v>486</v>
      </c>
      <c r="D45" s="349">
        <v>472</v>
      </c>
      <c r="E45" s="350">
        <v>0.971</v>
      </c>
      <c r="F45" s="349">
        <v>218</v>
      </c>
      <c r="G45" s="350">
        <v>0.449</v>
      </c>
    </row>
    <row r="46" spans="1:7" ht="12.75">
      <c r="A46" s="360">
        <v>9</v>
      </c>
      <c r="B46" s="348" t="s">
        <v>276</v>
      </c>
      <c r="C46" s="349">
        <v>752</v>
      </c>
      <c r="D46" s="349">
        <v>677</v>
      </c>
      <c r="E46" s="350">
        <v>0.9</v>
      </c>
      <c r="F46" s="349">
        <v>329</v>
      </c>
      <c r="G46" s="350">
        <v>0.438</v>
      </c>
    </row>
    <row r="47" spans="1:7" ht="12.75">
      <c r="A47" s="360">
        <v>10</v>
      </c>
      <c r="B47" s="348" t="s">
        <v>277</v>
      </c>
      <c r="C47" s="349">
        <v>1103</v>
      </c>
      <c r="D47" s="349">
        <v>1094</v>
      </c>
      <c r="E47" s="350">
        <v>0.992</v>
      </c>
      <c r="F47" s="349">
        <v>512</v>
      </c>
      <c r="G47" s="350">
        <v>0.464</v>
      </c>
    </row>
    <row r="48" spans="1:7" ht="12.75">
      <c r="A48" s="360">
        <v>11</v>
      </c>
      <c r="B48" s="348" t="s">
        <v>278</v>
      </c>
      <c r="C48" s="349">
        <v>710</v>
      </c>
      <c r="D48" s="349">
        <v>682</v>
      </c>
      <c r="E48" s="350">
        <v>0.961</v>
      </c>
      <c r="F48" s="349">
        <v>379</v>
      </c>
      <c r="G48" s="350">
        <v>0.534</v>
      </c>
    </row>
    <row r="49" spans="1:7" ht="12.75">
      <c r="A49" s="360">
        <v>12</v>
      </c>
      <c r="B49" s="348" t="s">
        <v>279</v>
      </c>
      <c r="C49" s="349">
        <v>773</v>
      </c>
      <c r="D49" s="349">
        <v>677</v>
      </c>
      <c r="E49" s="350">
        <v>0.876</v>
      </c>
      <c r="F49" s="349">
        <v>411</v>
      </c>
      <c r="G49" s="350">
        <v>0.532</v>
      </c>
    </row>
    <row r="50" spans="1:7" ht="12.75">
      <c r="A50" s="360">
        <v>13</v>
      </c>
      <c r="B50" s="348" t="s">
        <v>280</v>
      </c>
      <c r="C50" s="349">
        <v>1252</v>
      </c>
      <c r="D50" s="349">
        <v>1196</v>
      </c>
      <c r="E50" s="350">
        <v>0.955</v>
      </c>
      <c r="F50" s="349">
        <v>492</v>
      </c>
      <c r="G50" s="350">
        <v>0.393</v>
      </c>
    </row>
    <row r="51" spans="1:7" ht="12.75">
      <c r="A51" s="360">
        <v>14</v>
      </c>
      <c r="B51" s="348" t="s">
        <v>282</v>
      </c>
      <c r="C51" s="349">
        <v>722</v>
      </c>
      <c r="D51" s="349">
        <v>703</v>
      </c>
      <c r="E51" s="350">
        <v>0.974</v>
      </c>
      <c r="F51" s="349">
        <v>465</v>
      </c>
      <c r="G51" s="350">
        <v>0.644</v>
      </c>
    </row>
    <row r="52" spans="1:7" ht="12.75">
      <c r="A52" s="360">
        <v>15</v>
      </c>
      <c r="B52" s="348" t="s">
        <v>283</v>
      </c>
      <c r="C52" s="349">
        <v>992</v>
      </c>
      <c r="D52" s="349">
        <v>889</v>
      </c>
      <c r="E52" s="350">
        <v>0.896</v>
      </c>
      <c r="F52" s="349">
        <v>598</v>
      </c>
      <c r="G52" s="350">
        <v>0.603</v>
      </c>
    </row>
    <row r="53" spans="1:7" ht="12.75">
      <c r="A53" s="360">
        <v>16</v>
      </c>
      <c r="B53" s="348" t="s">
        <v>286</v>
      </c>
      <c r="C53" s="349">
        <v>1665</v>
      </c>
      <c r="D53" s="349">
        <v>1631</v>
      </c>
      <c r="E53" s="350">
        <v>0.98</v>
      </c>
      <c r="F53" s="349">
        <v>1008</v>
      </c>
      <c r="G53" s="350">
        <v>0.605</v>
      </c>
    </row>
    <row r="54" spans="1:7" ht="12.75">
      <c r="A54" s="360">
        <v>17</v>
      </c>
      <c r="B54" s="348" t="s">
        <v>287</v>
      </c>
      <c r="C54" s="349">
        <v>739</v>
      </c>
      <c r="D54" s="349">
        <v>701</v>
      </c>
      <c r="E54" s="350">
        <v>0.949</v>
      </c>
      <c r="F54" s="349">
        <v>340</v>
      </c>
      <c r="G54" s="350">
        <v>0.46</v>
      </c>
    </row>
    <row r="55" spans="1:7" ht="12.75">
      <c r="A55" s="360">
        <v>18</v>
      </c>
      <c r="B55" s="348" t="s">
        <v>288</v>
      </c>
      <c r="C55" s="349">
        <v>521</v>
      </c>
      <c r="D55" s="349">
        <v>491</v>
      </c>
      <c r="E55" s="350">
        <v>0.942</v>
      </c>
      <c r="F55" s="349">
        <v>253</v>
      </c>
      <c r="G55" s="350">
        <v>0.486</v>
      </c>
    </row>
    <row r="56" spans="1:7" ht="12.75">
      <c r="A56" s="360">
        <v>19</v>
      </c>
      <c r="B56" s="348" t="s">
        <v>289</v>
      </c>
      <c r="C56" s="349">
        <v>927</v>
      </c>
      <c r="D56" s="349">
        <v>868</v>
      </c>
      <c r="E56" s="350">
        <v>0.936</v>
      </c>
      <c r="F56" s="349">
        <v>427</v>
      </c>
      <c r="G56" s="350">
        <v>0.461</v>
      </c>
    </row>
    <row r="57" spans="1:7" ht="12.75">
      <c r="A57" s="360">
        <v>20</v>
      </c>
      <c r="B57" s="348" t="s">
        <v>290</v>
      </c>
      <c r="C57" s="349">
        <v>499</v>
      </c>
      <c r="D57" s="349">
        <v>487</v>
      </c>
      <c r="E57" s="350">
        <v>0.976</v>
      </c>
      <c r="F57" s="349">
        <v>227</v>
      </c>
      <c r="G57" s="350">
        <v>0.455</v>
      </c>
    </row>
    <row r="58" spans="1:7" ht="12.75">
      <c r="A58" s="360">
        <v>21</v>
      </c>
      <c r="B58" s="348" t="s">
        <v>291</v>
      </c>
      <c r="C58" s="349">
        <v>1092</v>
      </c>
      <c r="D58" s="349">
        <v>1027</v>
      </c>
      <c r="E58" s="350">
        <v>0.94</v>
      </c>
      <c r="F58" s="349">
        <v>564</v>
      </c>
      <c r="G58" s="350">
        <v>0.516</v>
      </c>
    </row>
    <row r="59" spans="1:7" ht="12.75">
      <c r="A59" s="360">
        <v>22</v>
      </c>
      <c r="B59" s="348" t="s">
        <v>1006</v>
      </c>
      <c r="C59" s="349">
        <v>895</v>
      </c>
      <c r="D59" s="349">
        <v>868</v>
      </c>
      <c r="E59" s="350">
        <v>0.97</v>
      </c>
      <c r="F59" s="349">
        <v>686</v>
      </c>
      <c r="G59" s="350">
        <v>0.766</v>
      </c>
    </row>
    <row r="60" spans="1:7" ht="12.75">
      <c r="A60" s="360">
        <v>23</v>
      </c>
      <c r="B60" s="348" t="s">
        <v>292</v>
      </c>
      <c r="C60" s="349">
        <v>1609</v>
      </c>
      <c r="D60" s="349">
        <v>1604</v>
      </c>
      <c r="E60" s="350">
        <v>0.997</v>
      </c>
      <c r="F60" s="349">
        <v>1028</v>
      </c>
      <c r="G60" s="350">
        <v>0.639</v>
      </c>
    </row>
    <row r="61" spans="1:7" ht="12.75">
      <c r="A61" s="360">
        <v>24</v>
      </c>
      <c r="B61" s="348" t="s">
        <v>293</v>
      </c>
      <c r="C61" s="349">
        <v>1320</v>
      </c>
      <c r="D61" s="349">
        <v>1277</v>
      </c>
      <c r="E61" s="350">
        <v>0.967</v>
      </c>
      <c r="F61" s="349">
        <v>588</v>
      </c>
      <c r="G61" s="350">
        <v>0.445</v>
      </c>
    </row>
    <row r="62" spans="1:7" ht="12.75">
      <c r="A62" s="360">
        <v>25</v>
      </c>
      <c r="B62" s="348" t="s">
        <v>294</v>
      </c>
      <c r="C62" s="349">
        <v>1357</v>
      </c>
      <c r="D62" s="349">
        <v>1328</v>
      </c>
      <c r="E62" s="350">
        <v>0.979</v>
      </c>
      <c r="F62" s="349">
        <v>586</v>
      </c>
      <c r="G62" s="350">
        <v>0.432</v>
      </c>
    </row>
    <row r="63" spans="1:7" ht="12.75">
      <c r="A63" s="360">
        <v>26</v>
      </c>
      <c r="B63" s="348" t="s">
        <v>295</v>
      </c>
      <c r="C63" s="349">
        <v>1157</v>
      </c>
      <c r="D63" s="349">
        <v>1115</v>
      </c>
      <c r="E63" s="350">
        <v>0.964</v>
      </c>
      <c r="F63" s="349">
        <v>661</v>
      </c>
      <c r="G63" s="350">
        <v>0.571</v>
      </c>
    </row>
    <row r="64" spans="1:7" ht="12.75">
      <c r="A64" s="360">
        <v>27</v>
      </c>
      <c r="B64" s="348" t="s">
        <v>296</v>
      </c>
      <c r="C64" s="349">
        <v>1071</v>
      </c>
      <c r="D64" s="349">
        <v>1037</v>
      </c>
      <c r="E64" s="350">
        <v>0.968</v>
      </c>
      <c r="F64" s="349">
        <v>486</v>
      </c>
      <c r="G64" s="350">
        <v>0.454</v>
      </c>
    </row>
    <row r="65" spans="1:7" ht="12.75">
      <c r="A65" s="360">
        <v>28</v>
      </c>
      <c r="B65" s="348" t="s">
        <v>297</v>
      </c>
      <c r="C65" s="349">
        <v>998</v>
      </c>
      <c r="D65" s="349">
        <v>938</v>
      </c>
      <c r="E65" s="350">
        <v>0.94</v>
      </c>
      <c r="F65" s="349">
        <v>466</v>
      </c>
      <c r="G65" s="350">
        <v>0.467</v>
      </c>
    </row>
    <row r="66" spans="1:98" s="409" customFormat="1" ht="19.5" customHeight="1">
      <c r="A66" s="362" t="s">
        <v>496</v>
      </c>
      <c r="B66" s="363" t="s">
        <v>298</v>
      </c>
      <c r="C66" s="358">
        <v>30826</v>
      </c>
      <c r="D66" s="358">
        <v>29228</v>
      </c>
      <c r="E66" s="359">
        <v>0.9481606436125348</v>
      </c>
      <c r="F66" s="358">
        <v>19530</v>
      </c>
      <c r="G66" s="359">
        <v>0.6335560890157659</v>
      </c>
      <c r="CS66" s="410"/>
      <c r="CT66" s="410"/>
    </row>
    <row r="67" spans="1:7" ht="12.75">
      <c r="A67" s="360">
        <v>1</v>
      </c>
      <c r="B67" s="348" t="s">
        <v>1007</v>
      </c>
      <c r="C67" s="349">
        <v>2355</v>
      </c>
      <c r="D67" s="349">
        <v>2222</v>
      </c>
      <c r="E67" s="350">
        <v>0.944</v>
      </c>
      <c r="F67" s="349">
        <v>2157</v>
      </c>
      <c r="G67" s="350">
        <v>0.916</v>
      </c>
    </row>
    <row r="68" spans="1:7" ht="12.75">
      <c r="A68" s="360">
        <v>2</v>
      </c>
      <c r="B68" s="348" t="s">
        <v>299</v>
      </c>
      <c r="C68" s="349">
        <v>1018</v>
      </c>
      <c r="D68" s="349">
        <v>964</v>
      </c>
      <c r="E68" s="350">
        <v>0.947</v>
      </c>
      <c r="F68" s="349">
        <v>711</v>
      </c>
      <c r="G68" s="350">
        <v>0.698</v>
      </c>
    </row>
    <row r="69" spans="1:7" ht="12.75">
      <c r="A69" s="360">
        <v>3</v>
      </c>
      <c r="B69" s="348" t="s">
        <v>300</v>
      </c>
      <c r="C69" s="349">
        <v>1030</v>
      </c>
      <c r="D69" s="349">
        <v>990</v>
      </c>
      <c r="E69" s="350">
        <v>0.961</v>
      </c>
      <c r="F69" s="349">
        <v>714</v>
      </c>
      <c r="G69" s="350">
        <v>0.693</v>
      </c>
    </row>
    <row r="70" spans="1:7" ht="12.75">
      <c r="A70" s="360">
        <v>4</v>
      </c>
      <c r="B70" s="348" t="s">
        <v>1008</v>
      </c>
      <c r="C70" s="349">
        <v>724</v>
      </c>
      <c r="D70" s="349">
        <v>615</v>
      </c>
      <c r="E70" s="350">
        <v>0.849</v>
      </c>
      <c r="F70" s="349">
        <v>541</v>
      </c>
      <c r="G70" s="350">
        <v>0.747</v>
      </c>
    </row>
    <row r="71" spans="1:7" ht="12.75">
      <c r="A71" s="360">
        <v>5</v>
      </c>
      <c r="B71" s="348" t="s">
        <v>301</v>
      </c>
      <c r="C71" s="349">
        <v>596</v>
      </c>
      <c r="D71" s="349">
        <v>533</v>
      </c>
      <c r="E71" s="350">
        <v>0.894</v>
      </c>
      <c r="F71" s="349">
        <v>369</v>
      </c>
      <c r="G71" s="350">
        <v>0.619</v>
      </c>
    </row>
    <row r="72" spans="1:7" ht="12.75">
      <c r="A72" s="360">
        <v>6</v>
      </c>
      <c r="B72" s="348" t="s">
        <v>1009</v>
      </c>
      <c r="C72" s="349">
        <v>817</v>
      </c>
      <c r="D72" s="349">
        <v>817</v>
      </c>
      <c r="E72" s="350">
        <v>1</v>
      </c>
      <c r="F72" s="349">
        <v>619</v>
      </c>
      <c r="G72" s="350">
        <v>0.758</v>
      </c>
    </row>
    <row r="73" spans="1:7" ht="12.75">
      <c r="A73" s="360">
        <v>7</v>
      </c>
      <c r="B73" s="348" t="s">
        <v>302</v>
      </c>
      <c r="C73" s="349">
        <v>1370</v>
      </c>
      <c r="D73" s="349">
        <v>1278</v>
      </c>
      <c r="E73" s="350">
        <v>0.933</v>
      </c>
      <c r="F73" s="349">
        <v>834</v>
      </c>
      <c r="G73" s="350">
        <v>0.609</v>
      </c>
    </row>
    <row r="74" spans="1:7" ht="12.75">
      <c r="A74" s="360">
        <v>8</v>
      </c>
      <c r="B74" s="348" t="s">
        <v>303</v>
      </c>
      <c r="C74" s="349">
        <v>672</v>
      </c>
      <c r="D74" s="349">
        <v>623</v>
      </c>
      <c r="E74" s="350">
        <v>0.927</v>
      </c>
      <c r="F74" s="349">
        <v>304</v>
      </c>
      <c r="G74" s="350">
        <v>0.452</v>
      </c>
    </row>
    <row r="75" spans="1:7" ht="12.75">
      <c r="A75" s="360">
        <v>9</v>
      </c>
      <c r="B75" s="348" t="s">
        <v>304</v>
      </c>
      <c r="C75" s="349">
        <v>657</v>
      </c>
      <c r="D75" s="349">
        <v>637</v>
      </c>
      <c r="E75" s="350">
        <v>0.97</v>
      </c>
      <c r="F75" s="349">
        <v>453</v>
      </c>
      <c r="G75" s="350">
        <v>0.689</v>
      </c>
    </row>
    <row r="76" spans="1:7" ht="12.75">
      <c r="A76" s="360">
        <v>10</v>
      </c>
      <c r="B76" s="348" t="s">
        <v>305</v>
      </c>
      <c r="C76" s="349">
        <v>1047</v>
      </c>
      <c r="D76" s="349">
        <v>990</v>
      </c>
      <c r="E76" s="350">
        <v>0.946</v>
      </c>
      <c r="F76" s="349">
        <v>590</v>
      </c>
      <c r="G76" s="350">
        <v>0.564</v>
      </c>
    </row>
    <row r="77" spans="1:7" ht="12.75">
      <c r="A77" s="360">
        <v>11</v>
      </c>
      <c r="B77" s="348" t="s">
        <v>306</v>
      </c>
      <c r="C77" s="349">
        <v>1028</v>
      </c>
      <c r="D77" s="349">
        <v>942</v>
      </c>
      <c r="E77" s="350">
        <v>0.916</v>
      </c>
      <c r="F77" s="349">
        <v>679</v>
      </c>
      <c r="G77" s="350">
        <v>0.661</v>
      </c>
    </row>
    <row r="78" spans="1:7" ht="12.75">
      <c r="A78" s="360">
        <v>12</v>
      </c>
      <c r="B78" s="348" t="s">
        <v>307</v>
      </c>
      <c r="C78" s="349">
        <v>775</v>
      </c>
      <c r="D78" s="349">
        <v>757</v>
      </c>
      <c r="E78" s="350">
        <v>0.977</v>
      </c>
      <c r="F78" s="349">
        <v>283</v>
      </c>
      <c r="G78" s="350">
        <v>0.365</v>
      </c>
    </row>
    <row r="79" spans="1:7" ht="12.75">
      <c r="A79" s="360">
        <v>13</v>
      </c>
      <c r="B79" s="348" t="s">
        <v>308</v>
      </c>
      <c r="C79" s="349">
        <v>592</v>
      </c>
      <c r="D79" s="349">
        <v>570</v>
      </c>
      <c r="E79" s="350">
        <v>0.963</v>
      </c>
      <c r="F79" s="349">
        <v>367</v>
      </c>
      <c r="G79" s="350">
        <v>0.62</v>
      </c>
    </row>
    <row r="80" spans="1:7" ht="12.75">
      <c r="A80" s="360">
        <v>14</v>
      </c>
      <c r="B80" s="348" t="s">
        <v>309</v>
      </c>
      <c r="C80" s="349">
        <v>940</v>
      </c>
      <c r="D80" s="349">
        <v>930</v>
      </c>
      <c r="E80" s="350">
        <v>0.989</v>
      </c>
      <c r="F80" s="349">
        <v>629</v>
      </c>
      <c r="G80" s="350">
        <v>0.669</v>
      </c>
    </row>
    <row r="81" spans="1:7" ht="12.75">
      <c r="A81" s="360">
        <v>15</v>
      </c>
      <c r="B81" s="348" t="s">
        <v>310</v>
      </c>
      <c r="C81" s="349">
        <v>1663</v>
      </c>
      <c r="D81" s="349">
        <v>1540</v>
      </c>
      <c r="E81" s="350">
        <v>0.926</v>
      </c>
      <c r="F81" s="349">
        <v>728</v>
      </c>
      <c r="G81" s="350">
        <v>0.438</v>
      </c>
    </row>
    <row r="82" spans="1:7" ht="12.75">
      <c r="A82" s="360">
        <v>16</v>
      </c>
      <c r="B82" s="348" t="s">
        <v>311</v>
      </c>
      <c r="C82" s="349">
        <v>680</v>
      </c>
      <c r="D82" s="349">
        <v>675</v>
      </c>
      <c r="E82" s="350">
        <v>0.993</v>
      </c>
      <c r="F82" s="349">
        <v>379</v>
      </c>
      <c r="G82" s="350">
        <v>0.557</v>
      </c>
    </row>
    <row r="83" spans="1:7" ht="12.75">
      <c r="A83" s="360">
        <v>17</v>
      </c>
      <c r="B83" s="348" t="s">
        <v>312</v>
      </c>
      <c r="C83" s="349">
        <v>1032</v>
      </c>
      <c r="D83" s="349">
        <v>988</v>
      </c>
      <c r="E83" s="350">
        <v>0.957</v>
      </c>
      <c r="F83" s="349">
        <v>603</v>
      </c>
      <c r="G83" s="350">
        <v>0.584</v>
      </c>
    </row>
    <row r="84" spans="1:7" ht="12.75">
      <c r="A84" s="360">
        <v>18</v>
      </c>
      <c r="B84" s="348" t="s">
        <v>1010</v>
      </c>
      <c r="C84" s="349">
        <v>596</v>
      </c>
      <c r="D84" s="349">
        <v>514</v>
      </c>
      <c r="E84" s="350">
        <v>0.862</v>
      </c>
      <c r="F84" s="349">
        <v>418</v>
      </c>
      <c r="G84" s="350">
        <v>0.701</v>
      </c>
    </row>
    <row r="85" spans="1:7" ht="12.75">
      <c r="A85" s="360">
        <v>19</v>
      </c>
      <c r="B85" s="348" t="s">
        <v>313</v>
      </c>
      <c r="C85" s="349">
        <v>584</v>
      </c>
      <c r="D85" s="349">
        <v>555</v>
      </c>
      <c r="E85" s="350">
        <v>0.95</v>
      </c>
      <c r="F85" s="349">
        <v>317</v>
      </c>
      <c r="G85" s="350">
        <v>0.543</v>
      </c>
    </row>
    <row r="86" spans="1:7" ht="12.75">
      <c r="A86" s="360">
        <v>20</v>
      </c>
      <c r="B86" s="348" t="s">
        <v>1011</v>
      </c>
      <c r="C86" s="349">
        <v>389</v>
      </c>
      <c r="D86" s="349">
        <v>368</v>
      </c>
      <c r="E86" s="350">
        <v>0.946</v>
      </c>
      <c r="F86" s="349">
        <v>293</v>
      </c>
      <c r="G86" s="350">
        <v>0.753</v>
      </c>
    </row>
    <row r="87" spans="1:7" ht="12.75">
      <c r="A87" s="360">
        <v>21</v>
      </c>
      <c r="B87" s="348" t="s">
        <v>314</v>
      </c>
      <c r="C87" s="349">
        <v>682</v>
      </c>
      <c r="D87" s="349">
        <v>678</v>
      </c>
      <c r="E87" s="350">
        <v>0.994</v>
      </c>
      <c r="F87" s="349">
        <v>316</v>
      </c>
      <c r="G87" s="350">
        <v>0.463</v>
      </c>
    </row>
    <row r="88" spans="1:7" ht="12.75">
      <c r="A88" s="360">
        <v>22</v>
      </c>
      <c r="B88" s="348" t="s">
        <v>315</v>
      </c>
      <c r="C88" s="349">
        <v>778</v>
      </c>
      <c r="D88" s="349">
        <v>745</v>
      </c>
      <c r="E88" s="350">
        <v>0.958</v>
      </c>
      <c r="F88" s="349">
        <v>416</v>
      </c>
      <c r="G88" s="350">
        <v>0.535</v>
      </c>
    </row>
    <row r="89" spans="1:7" ht="12.75">
      <c r="A89" s="360">
        <v>23</v>
      </c>
      <c r="B89" s="348" t="s">
        <v>316</v>
      </c>
      <c r="C89" s="349">
        <v>885</v>
      </c>
      <c r="D89" s="349">
        <v>869</v>
      </c>
      <c r="E89" s="350">
        <v>0.982</v>
      </c>
      <c r="F89" s="349">
        <v>501</v>
      </c>
      <c r="G89" s="350">
        <v>0.566</v>
      </c>
    </row>
    <row r="90" spans="1:7" ht="12.75">
      <c r="A90" s="360">
        <v>24</v>
      </c>
      <c r="B90" s="348" t="s">
        <v>317</v>
      </c>
      <c r="C90" s="349">
        <v>862</v>
      </c>
      <c r="D90" s="349">
        <v>767</v>
      </c>
      <c r="E90" s="350">
        <v>0.89</v>
      </c>
      <c r="F90" s="349">
        <v>509</v>
      </c>
      <c r="G90" s="350">
        <v>0.59</v>
      </c>
    </row>
    <row r="91" spans="1:7" ht="12.75">
      <c r="A91" s="360">
        <v>25</v>
      </c>
      <c r="B91" s="348" t="s">
        <v>318</v>
      </c>
      <c r="C91" s="349">
        <v>592</v>
      </c>
      <c r="D91" s="349">
        <v>587</v>
      </c>
      <c r="E91" s="350">
        <v>0.992</v>
      </c>
      <c r="F91" s="349">
        <v>349</v>
      </c>
      <c r="G91" s="350">
        <v>0.59</v>
      </c>
    </row>
    <row r="92" spans="1:7" ht="12.75">
      <c r="A92" s="360">
        <v>26</v>
      </c>
      <c r="B92" s="348" t="s">
        <v>319</v>
      </c>
      <c r="C92" s="349">
        <v>1039</v>
      </c>
      <c r="D92" s="349">
        <v>1026</v>
      </c>
      <c r="E92" s="350">
        <v>0.987</v>
      </c>
      <c r="F92" s="349">
        <v>503</v>
      </c>
      <c r="G92" s="350">
        <v>0.484</v>
      </c>
    </row>
    <row r="93" spans="1:7" ht="12.75">
      <c r="A93" s="360">
        <v>27</v>
      </c>
      <c r="B93" s="348" t="s">
        <v>1012</v>
      </c>
      <c r="C93" s="349">
        <v>1367</v>
      </c>
      <c r="D93" s="349">
        <v>1357</v>
      </c>
      <c r="E93" s="350">
        <v>0.993</v>
      </c>
      <c r="F93" s="349">
        <v>1003</v>
      </c>
      <c r="G93" s="350">
        <v>0.734</v>
      </c>
    </row>
    <row r="94" spans="1:7" ht="12.75">
      <c r="A94" s="360">
        <v>28</v>
      </c>
      <c r="B94" s="348" t="s">
        <v>320</v>
      </c>
      <c r="C94" s="349">
        <v>1274</v>
      </c>
      <c r="D94" s="349">
        <v>1195</v>
      </c>
      <c r="E94" s="350">
        <v>0.938</v>
      </c>
      <c r="F94" s="349">
        <v>698</v>
      </c>
      <c r="G94" s="350">
        <v>0.548</v>
      </c>
    </row>
    <row r="95" spans="1:7" ht="12.75">
      <c r="A95" s="360">
        <v>29</v>
      </c>
      <c r="B95" s="348" t="s">
        <v>321</v>
      </c>
      <c r="C95" s="349">
        <v>478</v>
      </c>
      <c r="D95" s="349">
        <v>471</v>
      </c>
      <c r="E95" s="350">
        <v>0.985</v>
      </c>
      <c r="F95" s="349">
        <v>293</v>
      </c>
      <c r="G95" s="350">
        <v>0.613</v>
      </c>
    </row>
    <row r="96" spans="1:7" ht="12.75">
      <c r="A96" s="360">
        <v>30</v>
      </c>
      <c r="B96" s="348" t="s">
        <v>322</v>
      </c>
      <c r="C96" s="349">
        <v>1232</v>
      </c>
      <c r="D96" s="349">
        <v>1183</v>
      </c>
      <c r="E96" s="350">
        <v>0.96</v>
      </c>
      <c r="F96" s="349">
        <v>827</v>
      </c>
      <c r="G96" s="350">
        <v>0.671</v>
      </c>
    </row>
    <row r="97" spans="1:7" ht="12.75">
      <c r="A97" s="360">
        <v>31</v>
      </c>
      <c r="B97" s="348" t="s">
        <v>323</v>
      </c>
      <c r="C97" s="349">
        <v>677</v>
      </c>
      <c r="D97" s="349">
        <v>653</v>
      </c>
      <c r="E97" s="350">
        <v>0.965</v>
      </c>
      <c r="F97" s="349">
        <v>437</v>
      </c>
      <c r="G97" s="350">
        <v>0.645</v>
      </c>
    </row>
    <row r="98" spans="1:7" ht="12.75">
      <c r="A98" s="360">
        <v>32</v>
      </c>
      <c r="B98" s="348" t="s">
        <v>324</v>
      </c>
      <c r="C98" s="349">
        <v>1368</v>
      </c>
      <c r="D98" s="349">
        <v>1292</v>
      </c>
      <c r="E98" s="350">
        <v>0.944</v>
      </c>
      <c r="F98" s="349">
        <v>968</v>
      </c>
      <c r="G98" s="350">
        <v>0.708</v>
      </c>
    </row>
    <row r="99" spans="1:7" ht="12.75">
      <c r="A99" s="360">
        <v>33</v>
      </c>
      <c r="B99" s="348" t="s">
        <v>325</v>
      </c>
      <c r="C99" s="349">
        <v>1027</v>
      </c>
      <c r="D99" s="349">
        <v>897</v>
      </c>
      <c r="E99" s="350">
        <v>0.873</v>
      </c>
      <c r="F99" s="349">
        <v>722</v>
      </c>
      <c r="G99" s="350">
        <v>0.703</v>
      </c>
    </row>
    <row r="100" spans="1:98" s="409" customFormat="1" ht="19.5" customHeight="1">
      <c r="A100" s="362" t="s">
        <v>498</v>
      </c>
      <c r="B100" s="363" t="s">
        <v>326</v>
      </c>
      <c r="C100" s="358">
        <v>27762</v>
      </c>
      <c r="D100" s="358">
        <v>26991</v>
      </c>
      <c r="E100" s="359">
        <v>0.972228225632159</v>
      </c>
      <c r="F100" s="358">
        <v>21095</v>
      </c>
      <c r="G100" s="359">
        <v>0.7598515957063612</v>
      </c>
      <c r="CS100" s="410"/>
      <c r="CT100" s="410"/>
    </row>
    <row r="101" spans="1:98" ht="12.75">
      <c r="A101" s="360">
        <v>1</v>
      </c>
      <c r="B101" s="348" t="s">
        <v>1013</v>
      </c>
      <c r="C101" s="349">
        <v>2601</v>
      </c>
      <c r="D101" s="349">
        <v>2568</v>
      </c>
      <c r="E101" s="350">
        <v>0.987</v>
      </c>
      <c r="F101" s="349">
        <v>2327</v>
      </c>
      <c r="G101" s="350">
        <v>0.895</v>
      </c>
      <c r="CS101" s="364"/>
      <c r="CT101" s="364"/>
    </row>
    <row r="102" spans="1:98" ht="12.75">
      <c r="A102" s="360">
        <v>2</v>
      </c>
      <c r="B102" s="348" t="s">
        <v>327</v>
      </c>
      <c r="C102" s="349">
        <v>2470</v>
      </c>
      <c r="D102" s="349">
        <v>2408</v>
      </c>
      <c r="E102" s="350">
        <v>0.975</v>
      </c>
      <c r="F102" s="349">
        <v>2220</v>
      </c>
      <c r="G102" s="350">
        <v>0.899</v>
      </c>
      <c r="CS102" s="364"/>
      <c r="CT102" s="364"/>
    </row>
    <row r="103" spans="1:98" ht="12.75">
      <c r="A103" s="360">
        <v>3</v>
      </c>
      <c r="B103" s="348" t="s">
        <v>328</v>
      </c>
      <c r="C103" s="349">
        <v>2356</v>
      </c>
      <c r="D103" s="349">
        <v>2345</v>
      </c>
      <c r="E103" s="350">
        <v>0.995</v>
      </c>
      <c r="F103" s="349">
        <v>1638</v>
      </c>
      <c r="G103" s="350">
        <v>0.695</v>
      </c>
      <c r="CS103" s="364"/>
      <c r="CT103" s="364"/>
    </row>
    <row r="104" spans="1:98" s="510" customFormat="1" ht="12.75">
      <c r="A104" s="509">
        <v>4</v>
      </c>
      <c r="B104" s="365" t="s">
        <v>329</v>
      </c>
      <c r="C104" s="366">
        <v>2363</v>
      </c>
      <c r="D104" s="366">
        <v>2156</v>
      </c>
      <c r="E104" s="367">
        <f>+D104/C104</f>
        <v>0.9123994921709692</v>
      </c>
      <c r="F104" s="366">
        <v>1432</v>
      </c>
      <c r="G104" s="367">
        <f>+F104/C104</f>
        <v>0.6060093101988997</v>
      </c>
      <c r="CS104" s="511"/>
      <c r="CT104" s="511"/>
    </row>
    <row r="105" spans="1:98" ht="12.75">
      <c r="A105" s="360">
        <v>5</v>
      </c>
      <c r="B105" s="348" t="s">
        <v>1014</v>
      </c>
      <c r="C105" s="349">
        <v>852</v>
      </c>
      <c r="D105" s="349">
        <v>796</v>
      </c>
      <c r="E105" s="350">
        <v>0.934</v>
      </c>
      <c r="F105" s="349">
        <v>700</v>
      </c>
      <c r="G105" s="350">
        <v>0.822</v>
      </c>
      <c r="CS105" s="364"/>
      <c r="CT105" s="364"/>
    </row>
    <row r="106" spans="1:98" ht="12.75">
      <c r="A106" s="360">
        <v>6</v>
      </c>
      <c r="B106" s="348" t="s">
        <v>1015</v>
      </c>
      <c r="C106" s="349">
        <v>1504</v>
      </c>
      <c r="D106" s="349">
        <v>1468</v>
      </c>
      <c r="E106" s="350">
        <v>0.976</v>
      </c>
      <c r="F106" s="349">
        <v>1299</v>
      </c>
      <c r="G106" s="350">
        <v>0.864</v>
      </c>
      <c r="CS106" s="364"/>
      <c r="CT106" s="364"/>
    </row>
    <row r="107" spans="1:98" ht="12.75">
      <c r="A107" s="360">
        <v>7</v>
      </c>
      <c r="B107" s="348" t="s">
        <v>1016</v>
      </c>
      <c r="C107" s="349">
        <v>1154</v>
      </c>
      <c r="D107" s="349">
        <v>1149</v>
      </c>
      <c r="E107" s="350">
        <v>0.996</v>
      </c>
      <c r="F107" s="349">
        <v>905</v>
      </c>
      <c r="G107" s="350">
        <v>0.784</v>
      </c>
      <c r="CS107" s="364"/>
      <c r="CT107" s="364"/>
    </row>
    <row r="108" spans="1:98" ht="12.75">
      <c r="A108" s="360">
        <v>8</v>
      </c>
      <c r="B108" s="348" t="s">
        <v>1017</v>
      </c>
      <c r="C108" s="349">
        <v>2518</v>
      </c>
      <c r="D108" s="349">
        <v>2410</v>
      </c>
      <c r="E108" s="350">
        <v>0.957</v>
      </c>
      <c r="F108" s="349">
        <v>2012</v>
      </c>
      <c r="G108" s="350">
        <v>0.799</v>
      </c>
      <c r="CS108" s="364"/>
      <c r="CT108" s="364"/>
    </row>
    <row r="109" spans="1:98" ht="12.75">
      <c r="A109" s="360">
        <v>9</v>
      </c>
      <c r="B109" s="348" t="s">
        <v>330</v>
      </c>
      <c r="C109" s="349">
        <v>2104</v>
      </c>
      <c r="D109" s="349">
        <v>2093</v>
      </c>
      <c r="E109" s="350">
        <v>0.995</v>
      </c>
      <c r="F109" s="349">
        <v>1652</v>
      </c>
      <c r="G109" s="350">
        <v>0.785</v>
      </c>
      <c r="CS109" s="364"/>
      <c r="CT109" s="364"/>
    </row>
    <row r="110" spans="1:98" ht="12.75">
      <c r="A110" s="360">
        <v>10</v>
      </c>
      <c r="B110" s="348" t="s">
        <v>1018</v>
      </c>
      <c r="C110" s="349">
        <v>1982</v>
      </c>
      <c r="D110" s="349">
        <v>1942</v>
      </c>
      <c r="E110" s="350">
        <v>0.98</v>
      </c>
      <c r="F110" s="349">
        <v>1433</v>
      </c>
      <c r="G110" s="350">
        <v>0.723</v>
      </c>
      <c r="CS110" s="364"/>
      <c r="CT110" s="364"/>
    </row>
    <row r="111" spans="1:98" ht="12.75">
      <c r="A111" s="360">
        <v>11</v>
      </c>
      <c r="B111" s="348" t="s">
        <v>331</v>
      </c>
      <c r="C111" s="349">
        <v>2300</v>
      </c>
      <c r="D111" s="349">
        <v>2262</v>
      </c>
      <c r="E111" s="350">
        <v>0.983</v>
      </c>
      <c r="F111" s="349">
        <v>1585</v>
      </c>
      <c r="G111" s="350">
        <v>0.689</v>
      </c>
      <c r="CS111" s="364"/>
      <c r="CT111" s="364"/>
    </row>
    <row r="112" spans="1:98" ht="12.75">
      <c r="A112" s="360">
        <v>12</v>
      </c>
      <c r="B112" s="348" t="s">
        <v>332</v>
      </c>
      <c r="C112" s="349">
        <v>2178</v>
      </c>
      <c r="D112" s="349">
        <v>2121</v>
      </c>
      <c r="E112" s="350">
        <v>0.974</v>
      </c>
      <c r="F112" s="349">
        <v>1628</v>
      </c>
      <c r="G112" s="350">
        <v>0.747</v>
      </c>
      <c r="CS112" s="364"/>
      <c r="CT112" s="364"/>
    </row>
    <row r="113" spans="1:98" ht="12.75">
      <c r="A113" s="360">
        <v>13</v>
      </c>
      <c r="B113" s="348" t="s">
        <v>333</v>
      </c>
      <c r="C113" s="349">
        <v>1258</v>
      </c>
      <c r="D113" s="349">
        <v>1239</v>
      </c>
      <c r="E113" s="350">
        <v>0.985</v>
      </c>
      <c r="F113" s="349">
        <v>806</v>
      </c>
      <c r="G113" s="350">
        <v>0.641</v>
      </c>
      <c r="CS113" s="364"/>
      <c r="CT113" s="364"/>
    </row>
    <row r="114" spans="1:98" ht="12.75">
      <c r="A114" s="360">
        <v>14</v>
      </c>
      <c r="B114" s="348" t="s">
        <v>334</v>
      </c>
      <c r="C114" s="349">
        <v>1557</v>
      </c>
      <c r="D114" s="349">
        <v>1503</v>
      </c>
      <c r="E114" s="350">
        <v>0.965</v>
      </c>
      <c r="F114" s="349">
        <v>990</v>
      </c>
      <c r="G114" s="350">
        <v>0.636</v>
      </c>
      <c r="CS114" s="364"/>
      <c r="CT114" s="364"/>
    </row>
    <row r="115" spans="1:98" s="409" customFormat="1" ht="19.5" customHeight="1">
      <c r="A115" s="362" t="s">
        <v>903</v>
      </c>
      <c r="B115" s="363" t="s">
        <v>335</v>
      </c>
      <c r="C115" s="358">
        <v>26917</v>
      </c>
      <c r="D115" s="358">
        <v>26431</v>
      </c>
      <c r="E115" s="359">
        <v>0.9819444960433926</v>
      </c>
      <c r="F115" s="358">
        <v>14816</v>
      </c>
      <c r="G115" s="359">
        <v>0.5504328119775607</v>
      </c>
      <c r="CS115" s="410"/>
      <c r="CT115" s="410"/>
    </row>
    <row r="116" spans="1:7" ht="12.75">
      <c r="A116" s="360">
        <v>1</v>
      </c>
      <c r="B116" s="348" t="s">
        <v>1019</v>
      </c>
      <c r="C116" s="349">
        <v>4471</v>
      </c>
      <c r="D116" s="349">
        <v>4389</v>
      </c>
      <c r="E116" s="350">
        <v>0.982</v>
      </c>
      <c r="F116" s="349">
        <v>3775</v>
      </c>
      <c r="G116" s="350">
        <v>0.844</v>
      </c>
    </row>
    <row r="117" spans="1:98" ht="12.75">
      <c r="A117" s="360">
        <v>2</v>
      </c>
      <c r="B117" s="348" t="s">
        <v>336</v>
      </c>
      <c r="C117" s="349">
        <v>1595</v>
      </c>
      <c r="D117" s="349">
        <v>1550</v>
      </c>
      <c r="E117" s="350">
        <v>0.972</v>
      </c>
      <c r="F117" s="349">
        <v>646</v>
      </c>
      <c r="G117" s="350">
        <v>0.405</v>
      </c>
      <c r="CT117" s="413"/>
    </row>
    <row r="118" spans="1:98" ht="12.75">
      <c r="A118" s="360">
        <v>3</v>
      </c>
      <c r="B118" s="348" t="s">
        <v>337</v>
      </c>
      <c r="C118" s="349">
        <v>987</v>
      </c>
      <c r="D118" s="349">
        <v>916</v>
      </c>
      <c r="E118" s="350">
        <v>0.928</v>
      </c>
      <c r="F118" s="349">
        <v>418</v>
      </c>
      <c r="G118" s="350">
        <v>0.424</v>
      </c>
      <c r="CT118" s="413"/>
    </row>
    <row r="119" spans="1:7" ht="12.75">
      <c r="A119" s="360">
        <v>4</v>
      </c>
      <c r="B119" s="348" t="s">
        <v>338</v>
      </c>
      <c r="C119" s="349">
        <v>864</v>
      </c>
      <c r="D119" s="349">
        <v>852</v>
      </c>
      <c r="E119" s="350">
        <v>0.986</v>
      </c>
      <c r="F119" s="349">
        <v>565</v>
      </c>
      <c r="G119" s="350">
        <v>0.654</v>
      </c>
    </row>
    <row r="120" spans="1:7" ht="12.75">
      <c r="A120" s="360">
        <v>5</v>
      </c>
      <c r="B120" s="348" t="s">
        <v>339</v>
      </c>
      <c r="C120" s="349">
        <v>941</v>
      </c>
      <c r="D120" s="349">
        <v>892</v>
      </c>
      <c r="E120" s="350">
        <v>0.948</v>
      </c>
      <c r="F120" s="349">
        <v>253</v>
      </c>
      <c r="G120" s="350">
        <v>0.269</v>
      </c>
    </row>
    <row r="121" spans="1:7" ht="12.75">
      <c r="A121" s="360">
        <v>6</v>
      </c>
      <c r="B121" s="348" t="s">
        <v>340</v>
      </c>
      <c r="C121" s="349">
        <v>988</v>
      </c>
      <c r="D121" s="349">
        <v>987</v>
      </c>
      <c r="E121" s="350">
        <v>0.999</v>
      </c>
      <c r="F121" s="349">
        <v>311</v>
      </c>
      <c r="G121" s="350">
        <v>0.315</v>
      </c>
    </row>
    <row r="122" spans="1:7" ht="12.75">
      <c r="A122" s="360">
        <v>7</v>
      </c>
      <c r="B122" s="348" t="s">
        <v>341</v>
      </c>
      <c r="C122" s="349">
        <v>970</v>
      </c>
      <c r="D122" s="349">
        <v>953</v>
      </c>
      <c r="E122" s="350">
        <v>0.982</v>
      </c>
      <c r="F122" s="349">
        <v>538</v>
      </c>
      <c r="G122" s="350">
        <v>0.555</v>
      </c>
    </row>
    <row r="123" spans="1:7" ht="12.75">
      <c r="A123" s="360">
        <v>8</v>
      </c>
      <c r="B123" s="348" t="s">
        <v>342</v>
      </c>
      <c r="C123" s="349">
        <v>1044</v>
      </c>
      <c r="D123" s="349">
        <v>1039</v>
      </c>
      <c r="E123" s="350">
        <v>0.995</v>
      </c>
      <c r="F123" s="349">
        <v>368</v>
      </c>
      <c r="G123" s="350">
        <v>0.352</v>
      </c>
    </row>
    <row r="124" spans="1:7" ht="12.75">
      <c r="A124" s="360">
        <v>9</v>
      </c>
      <c r="B124" s="348" t="s">
        <v>343</v>
      </c>
      <c r="C124" s="349">
        <v>2334</v>
      </c>
      <c r="D124" s="349">
        <v>2319</v>
      </c>
      <c r="E124" s="350">
        <v>0.994</v>
      </c>
      <c r="F124" s="349">
        <v>1550</v>
      </c>
      <c r="G124" s="350">
        <v>0.664</v>
      </c>
    </row>
    <row r="125" spans="1:7" ht="12.75">
      <c r="A125" s="360">
        <v>10</v>
      </c>
      <c r="B125" s="348" t="s">
        <v>344</v>
      </c>
      <c r="C125" s="349">
        <v>1363</v>
      </c>
      <c r="D125" s="349">
        <v>1305</v>
      </c>
      <c r="E125" s="350">
        <v>0.957</v>
      </c>
      <c r="F125" s="349">
        <v>560</v>
      </c>
      <c r="G125" s="350">
        <v>0.411</v>
      </c>
    </row>
    <row r="126" spans="1:7" ht="12.75">
      <c r="A126" s="360">
        <v>11</v>
      </c>
      <c r="B126" s="348" t="s">
        <v>345</v>
      </c>
      <c r="C126" s="349">
        <v>1033</v>
      </c>
      <c r="D126" s="349">
        <v>1028</v>
      </c>
      <c r="E126" s="350">
        <v>0.995</v>
      </c>
      <c r="F126" s="349">
        <v>666</v>
      </c>
      <c r="G126" s="350">
        <v>0.645</v>
      </c>
    </row>
    <row r="127" spans="1:7" ht="12.75">
      <c r="A127" s="360">
        <v>12</v>
      </c>
      <c r="B127" s="348" t="s">
        <v>955</v>
      </c>
      <c r="C127" s="349">
        <v>2562</v>
      </c>
      <c r="D127" s="349">
        <v>2489</v>
      </c>
      <c r="E127" s="350">
        <v>0.972</v>
      </c>
      <c r="F127" s="349">
        <v>1581</v>
      </c>
      <c r="G127" s="350">
        <v>0.617</v>
      </c>
    </row>
    <row r="128" spans="1:7" ht="12.75">
      <c r="A128" s="360">
        <v>13</v>
      </c>
      <c r="B128" s="348" t="s">
        <v>346</v>
      </c>
      <c r="C128" s="349">
        <v>1217</v>
      </c>
      <c r="D128" s="349">
        <v>1197</v>
      </c>
      <c r="E128" s="350">
        <v>0.984</v>
      </c>
      <c r="F128" s="349">
        <v>811</v>
      </c>
      <c r="G128" s="350">
        <v>0.666</v>
      </c>
    </row>
    <row r="129" spans="1:7" ht="12.75">
      <c r="A129" s="360">
        <v>14</v>
      </c>
      <c r="B129" s="348" t="s">
        <v>347</v>
      </c>
      <c r="C129" s="349">
        <v>1219</v>
      </c>
      <c r="D129" s="349">
        <v>1218</v>
      </c>
      <c r="E129" s="350">
        <v>0.999</v>
      </c>
      <c r="F129" s="349">
        <v>524</v>
      </c>
      <c r="G129" s="350">
        <v>0.43</v>
      </c>
    </row>
    <row r="130" spans="1:7" ht="12.75">
      <c r="A130" s="360">
        <v>15</v>
      </c>
      <c r="B130" s="348" t="s">
        <v>348</v>
      </c>
      <c r="C130" s="349">
        <v>1074</v>
      </c>
      <c r="D130" s="349">
        <v>1066</v>
      </c>
      <c r="E130" s="350">
        <v>0.993</v>
      </c>
      <c r="F130" s="349">
        <v>635</v>
      </c>
      <c r="G130" s="350">
        <v>0.591</v>
      </c>
    </row>
    <row r="131" spans="1:7" ht="12.75">
      <c r="A131" s="360">
        <v>16</v>
      </c>
      <c r="B131" s="348" t="s">
        <v>349</v>
      </c>
      <c r="C131" s="349">
        <v>1148</v>
      </c>
      <c r="D131" s="349">
        <v>1132</v>
      </c>
      <c r="E131" s="350">
        <v>0.986</v>
      </c>
      <c r="F131" s="349">
        <v>341</v>
      </c>
      <c r="G131" s="350">
        <v>0.297</v>
      </c>
    </row>
    <row r="132" spans="1:7" ht="12.75">
      <c r="A132" s="360">
        <v>17</v>
      </c>
      <c r="B132" s="348" t="s">
        <v>350</v>
      </c>
      <c r="C132" s="349">
        <v>1020</v>
      </c>
      <c r="D132" s="349">
        <v>1015</v>
      </c>
      <c r="E132" s="350">
        <v>0.995</v>
      </c>
      <c r="F132" s="349">
        <v>571</v>
      </c>
      <c r="G132" s="350">
        <v>0.56</v>
      </c>
    </row>
    <row r="133" spans="1:7" ht="12.75">
      <c r="A133" s="360">
        <v>18</v>
      </c>
      <c r="B133" s="348" t="s">
        <v>351</v>
      </c>
      <c r="C133" s="349">
        <v>988</v>
      </c>
      <c r="D133" s="349">
        <v>987</v>
      </c>
      <c r="E133" s="350">
        <v>0.999</v>
      </c>
      <c r="F133" s="349">
        <v>311</v>
      </c>
      <c r="G133" s="350">
        <v>0.315</v>
      </c>
    </row>
    <row r="134" spans="1:7" ht="12.75">
      <c r="A134" s="360">
        <v>19</v>
      </c>
      <c r="B134" s="348" t="s">
        <v>352</v>
      </c>
      <c r="C134" s="349">
        <v>1099</v>
      </c>
      <c r="D134" s="349">
        <v>1097</v>
      </c>
      <c r="E134" s="350">
        <v>0.998</v>
      </c>
      <c r="F134" s="349">
        <v>392</v>
      </c>
      <c r="G134" s="350">
        <v>0.357</v>
      </c>
    </row>
    <row r="135" spans="1:98" s="409" customFormat="1" ht="19.5" customHeight="1">
      <c r="A135" s="362" t="s">
        <v>353</v>
      </c>
      <c r="B135" s="363" t="s">
        <v>354</v>
      </c>
      <c r="C135" s="358">
        <v>20392</v>
      </c>
      <c r="D135" s="358">
        <v>19548</v>
      </c>
      <c r="E135" s="359">
        <v>0.9586112200863084</v>
      </c>
      <c r="F135" s="358">
        <v>13524</v>
      </c>
      <c r="G135" s="359">
        <v>0.6632012553942722</v>
      </c>
      <c r="CS135" s="410"/>
      <c r="CT135" s="410"/>
    </row>
    <row r="136" spans="1:7" ht="12.75">
      <c r="A136" s="360">
        <v>1</v>
      </c>
      <c r="B136" s="348" t="s">
        <v>355</v>
      </c>
      <c r="C136" s="349">
        <v>1126</v>
      </c>
      <c r="D136" s="349">
        <v>1110</v>
      </c>
      <c r="E136" s="350">
        <v>0.986</v>
      </c>
      <c r="F136" s="349">
        <v>781</v>
      </c>
      <c r="G136" s="350">
        <v>0.694</v>
      </c>
    </row>
    <row r="137" spans="1:7" ht="12.75">
      <c r="A137" s="360">
        <v>2</v>
      </c>
      <c r="B137" s="348" t="s">
        <v>1020</v>
      </c>
      <c r="C137" s="349">
        <v>1689</v>
      </c>
      <c r="D137" s="349">
        <v>1622</v>
      </c>
      <c r="E137" s="350">
        <v>0.96</v>
      </c>
      <c r="F137" s="349">
        <v>1330</v>
      </c>
      <c r="G137" s="350">
        <v>0.787</v>
      </c>
    </row>
    <row r="138" spans="1:7" ht="12.75">
      <c r="A138" s="360">
        <v>3</v>
      </c>
      <c r="B138" s="348" t="s">
        <v>1021</v>
      </c>
      <c r="C138" s="349">
        <v>600</v>
      </c>
      <c r="D138" s="349">
        <v>596</v>
      </c>
      <c r="E138" s="350">
        <v>0.993</v>
      </c>
      <c r="F138" s="349">
        <v>441</v>
      </c>
      <c r="G138" s="350">
        <v>0.735</v>
      </c>
    </row>
    <row r="139" spans="1:7" ht="12.75">
      <c r="A139" s="360">
        <v>4</v>
      </c>
      <c r="B139" s="348" t="s">
        <v>1022</v>
      </c>
      <c r="C139" s="349">
        <v>1114</v>
      </c>
      <c r="D139" s="349">
        <v>1085</v>
      </c>
      <c r="E139" s="350">
        <v>0.974</v>
      </c>
      <c r="F139" s="349">
        <v>865</v>
      </c>
      <c r="G139" s="350">
        <v>0.776</v>
      </c>
    </row>
    <row r="140" spans="1:7" ht="12.75">
      <c r="A140" s="360">
        <v>5</v>
      </c>
      <c r="B140" s="348" t="s">
        <v>356</v>
      </c>
      <c r="C140" s="349">
        <v>1096</v>
      </c>
      <c r="D140" s="349">
        <v>1028</v>
      </c>
      <c r="E140" s="350">
        <v>0.938</v>
      </c>
      <c r="F140" s="349">
        <v>623</v>
      </c>
      <c r="G140" s="350">
        <v>0.568</v>
      </c>
    </row>
    <row r="141" spans="1:7" ht="12.75">
      <c r="A141" s="360">
        <v>6</v>
      </c>
      <c r="B141" s="348" t="s">
        <v>357</v>
      </c>
      <c r="C141" s="349">
        <v>916</v>
      </c>
      <c r="D141" s="349">
        <v>831</v>
      </c>
      <c r="E141" s="350">
        <v>0.907</v>
      </c>
      <c r="F141" s="349">
        <v>629</v>
      </c>
      <c r="G141" s="350">
        <v>0.687</v>
      </c>
    </row>
    <row r="142" spans="1:7" ht="12.75">
      <c r="A142" s="360">
        <v>7</v>
      </c>
      <c r="B142" s="348" t="s">
        <v>358</v>
      </c>
      <c r="C142" s="349">
        <v>539</v>
      </c>
      <c r="D142" s="349">
        <v>520</v>
      </c>
      <c r="E142" s="350">
        <v>0.965</v>
      </c>
      <c r="F142" s="349">
        <v>423</v>
      </c>
      <c r="G142" s="350">
        <v>0.785</v>
      </c>
    </row>
    <row r="143" spans="1:7" ht="12.75">
      <c r="A143" s="360">
        <v>8</v>
      </c>
      <c r="B143" s="348" t="s">
        <v>359</v>
      </c>
      <c r="C143" s="349">
        <v>938</v>
      </c>
      <c r="D143" s="349">
        <v>910</v>
      </c>
      <c r="E143" s="350">
        <v>0.97</v>
      </c>
      <c r="F143" s="349">
        <v>402</v>
      </c>
      <c r="G143" s="350">
        <v>0.429</v>
      </c>
    </row>
    <row r="144" spans="1:7" ht="12.75">
      <c r="A144" s="360">
        <v>9</v>
      </c>
      <c r="B144" s="348" t="s">
        <v>360</v>
      </c>
      <c r="C144" s="349">
        <v>1743</v>
      </c>
      <c r="D144" s="349">
        <v>1730</v>
      </c>
      <c r="E144" s="350">
        <v>0.993</v>
      </c>
      <c r="F144" s="349">
        <v>1542</v>
      </c>
      <c r="G144" s="350">
        <v>0.885</v>
      </c>
    </row>
    <row r="145" spans="1:7" ht="12.75">
      <c r="A145" s="360">
        <v>10</v>
      </c>
      <c r="B145" s="348" t="s">
        <v>361</v>
      </c>
      <c r="C145" s="349">
        <v>695</v>
      </c>
      <c r="D145" s="349">
        <v>678</v>
      </c>
      <c r="E145" s="350">
        <v>0.976</v>
      </c>
      <c r="F145" s="349">
        <v>470</v>
      </c>
      <c r="G145" s="350">
        <v>0.676</v>
      </c>
    </row>
    <row r="146" spans="1:7" ht="12.75">
      <c r="A146" s="360">
        <v>11</v>
      </c>
      <c r="B146" s="348" t="s">
        <v>362</v>
      </c>
      <c r="C146" s="349">
        <v>937</v>
      </c>
      <c r="D146" s="349">
        <v>835</v>
      </c>
      <c r="E146" s="350">
        <v>0.891</v>
      </c>
      <c r="F146" s="349">
        <v>559</v>
      </c>
      <c r="G146" s="350">
        <v>0.597</v>
      </c>
    </row>
    <row r="147" spans="1:7" ht="12.75">
      <c r="A147" s="360">
        <v>12</v>
      </c>
      <c r="B147" s="348" t="s">
        <v>1023</v>
      </c>
      <c r="C147" s="349">
        <v>513</v>
      </c>
      <c r="D147" s="349">
        <v>506</v>
      </c>
      <c r="E147" s="350">
        <v>0.986</v>
      </c>
      <c r="F147" s="349">
        <v>440</v>
      </c>
      <c r="G147" s="350">
        <v>0.858</v>
      </c>
    </row>
    <row r="148" spans="1:7" ht="12.75">
      <c r="A148" s="360">
        <v>13</v>
      </c>
      <c r="B148" s="348" t="s">
        <v>1024</v>
      </c>
      <c r="C148" s="349">
        <v>1161</v>
      </c>
      <c r="D148" s="349">
        <v>1046</v>
      </c>
      <c r="E148" s="350">
        <v>0.901</v>
      </c>
      <c r="F148" s="349">
        <v>834</v>
      </c>
      <c r="G148" s="350">
        <v>0.718</v>
      </c>
    </row>
    <row r="149" spans="1:7" ht="12.75">
      <c r="A149" s="360">
        <v>14</v>
      </c>
      <c r="B149" s="348" t="s">
        <v>363</v>
      </c>
      <c r="C149" s="349">
        <v>1414</v>
      </c>
      <c r="D149" s="349">
        <v>1399</v>
      </c>
      <c r="E149" s="350">
        <v>0.989</v>
      </c>
      <c r="F149" s="349">
        <v>928</v>
      </c>
      <c r="G149" s="350">
        <v>0.656</v>
      </c>
    </row>
    <row r="150" spans="1:7" ht="12.75">
      <c r="A150" s="360">
        <v>15</v>
      </c>
      <c r="B150" s="348" t="s">
        <v>364</v>
      </c>
      <c r="C150" s="349">
        <v>918</v>
      </c>
      <c r="D150" s="349">
        <v>887</v>
      </c>
      <c r="E150" s="350">
        <v>0.966</v>
      </c>
      <c r="F150" s="349">
        <v>396</v>
      </c>
      <c r="G150" s="350">
        <v>0.431</v>
      </c>
    </row>
    <row r="151" spans="1:7" ht="12.75">
      <c r="A151" s="360">
        <v>16</v>
      </c>
      <c r="B151" s="348" t="s">
        <v>365</v>
      </c>
      <c r="C151" s="349">
        <v>1092</v>
      </c>
      <c r="D151" s="349">
        <v>1048</v>
      </c>
      <c r="E151" s="350">
        <v>0.96</v>
      </c>
      <c r="F151" s="349">
        <v>696</v>
      </c>
      <c r="G151" s="350">
        <v>0.637</v>
      </c>
    </row>
    <row r="152" spans="1:7" ht="12.75">
      <c r="A152" s="360">
        <v>17</v>
      </c>
      <c r="B152" s="348" t="s">
        <v>366</v>
      </c>
      <c r="C152" s="349">
        <v>942</v>
      </c>
      <c r="D152" s="349">
        <v>860</v>
      </c>
      <c r="E152" s="350">
        <v>0.913</v>
      </c>
      <c r="F152" s="349">
        <v>555</v>
      </c>
      <c r="G152" s="350">
        <v>0.589</v>
      </c>
    </row>
    <row r="153" spans="1:7" ht="12.75">
      <c r="A153" s="360">
        <v>18</v>
      </c>
      <c r="B153" s="348" t="s">
        <v>367</v>
      </c>
      <c r="C153" s="349">
        <v>1038</v>
      </c>
      <c r="D153" s="349">
        <v>1013</v>
      </c>
      <c r="E153" s="350">
        <v>0.976</v>
      </c>
      <c r="F153" s="349">
        <v>473</v>
      </c>
      <c r="G153" s="350">
        <v>0.456</v>
      </c>
    </row>
    <row r="154" spans="1:7" ht="12.75">
      <c r="A154" s="360">
        <v>19</v>
      </c>
      <c r="B154" s="348" t="s">
        <v>205</v>
      </c>
      <c r="C154" s="349">
        <v>746</v>
      </c>
      <c r="D154" s="349">
        <v>707</v>
      </c>
      <c r="E154" s="350">
        <v>0.948</v>
      </c>
      <c r="F154" s="349">
        <v>585</v>
      </c>
      <c r="G154" s="350">
        <v>0.784</v>
      </c>
    </row>
    <row r="155" spans="1:7" ht="12.75">
      <c r="A155" s="360">
        <v>20</v>
      </c>
      <c r="B155" s="348" t="s">
        <v>368</v>
      </c>
      <c r="C155" s="349">
        <v>1175</v>
      </c>
      <c r="D155" s="349">
        <v>1137</v>
      </c>
      <c r="E155" s="350">
        <v>0.968</v>
      </c>
      <c r="F155" s="349">
        <v>552</v>
      </c>
      <c r="G155" s="350">
        <v>0.47</v>
      </c>
    </row>
    <row r="156" spans="1:98" s="409" customFormat="1" ht="19.5" customHeight="1">
      <c r="A156" s="362" t="s">
        <v>369</v>
      </c>
      <c r="B156" s="363" t="s">
        <v>370</v>
      </c>
      <c r="C156" s="358">
        <v>19144</v>
      </c>
      <c r="D156" s="358">
        <v>17674</v>
      </c>
      <c r="E156" s="359">
        <v>0.9232135394901797</v>
      </c>
      <c r="F156" s="358">
        <v>5819</v>
      </c>
      <c r="G156" s="359">
        <v>0.3039594651065608</v>
      </c>
      <c r="CS156" s="410"/>
      <c r="CT156" s="410"/>
    </row>
    <row r="157" spans="1:7" ht="12.75">
      <c r="A157" s="360">
        <v>1</v>
      </c>
      <c r="B157" s="348" t="s">
        <v>371</v>
      </c>
      <c r="C157" s="349">
        <v>744</v>
      </c>
      <c r="D157" s="349">
        <v>724</v>
      </c>
      <c r="E157" s="350">
        <v>0.973</v>
      </c>
      <c r="F157" s="349">
        <v>281</v>
      </c>
      <c r="G157" s="350">
        <v>0.378</v>
      </c>
    </row>
    <row r="158" spans="1:7" ht="12.75">
      <c r="A158" s="360">
        <v>2</v>
      </c>
      <c r="B158" s="348" t="s">
        <v>372</v>
      </c>
      <c r="C158" s="349">
        <v>830</v>
      </c>
      <c r="D158" s="349">
        <v>344</v>
      </c>
      <c r="E158" s="350">
        <v>0.414</v>
      </c>
      <c r="F158" s="349">
        <v>202</v>
      </c>
      <c r="G158" s="350">
        <v>0.243</v>
      </c>
    </row>
    <row r="159" spans="1:7" ht="12.75">
      <c r="A159" s="360">
        <v>3</v>
      </c>
      <c r="B159" s="348" t="s">
        <v>373</v>
      </c>
      <c r="C159" s="349">
        <v>1409</v>
      </c>
      <c r="D159" s="349">
        <v>1398</v>
      </c>
      <c r="E159" s="350">
        <v>0.992</v>
      </c>
      <c r="F159" s="349">
        <v>286</v>
      </c>
      <c r="G159" s="350">
        <v>0.203</v>
      </c>
    </row>
    <row r="160" spans="1:7" ht="12.75">
      <c r="A160" s="360">
        <v>4</v>
      </c>
      <c r="B160" s="348" t="s">
        <v>374</v>
      </c>
      <c r="C160" s="349">
        <v>736</v>
      </c>
      <c r="D160" s="349">
        <v>731</v>
      </c>
      <c r="E160" s="350">
        <v>0.993</v>
      </c>
      <c r="F160" s="349">
        <v>329</v>
      </c>
      <c r="G160" s="350">
        <v>0.447</v>
      </c>
    </row>
    <row r="161" spans="1:7" ht="12.75">
      <c r="A161" s="360">
        <v>5</v>
      </c>
      <c r="B161" s="348" t="s">
        <v>375</v>
      </c>
      <c r="C161" s="349">
        <v>852</v>
      </c>
      <c r="D161" s="349">
        <v>740</v>
      </c>
      <c r="E161" s="350">
        <v>0.869</v>
      </c>
      <c r="F161" s="349">
        <v>314</v>
      </c>
      <c r="G161" s="350">
        <v>0.369</v>
      </c>
    </row>
    <row r="162" spans="1:7" ht="12.75">
      <c r="A162" s="360">
        <v>6</v>
      </c>
      <c r="B162" s="348" t="s">
        <v>376</v>
      </c>
      <c r="C162" s="349">
        <v>1572</v>
      </c>
      <c r="D162" s="349">
        <v>1526</v>
      </c>
      <c r="E162" s="350">
        <v>0.971</v>
      </c>
      <c r="F162" s="349">
        <v>604</v>
      </c>
      <c r="G162" s="350">
        <v>0.384</v>
      </c>
    </row>
    <row r="163" spans="1:7" ht="12.75">
      <c r="A163" s="360">
        <v>7</v>
      </c>
      <c r="B163" s="348" t="s">
        <v>377</v>
      </c>
      <c r="C163" s="349">
        <v>1942</v>
      </c>
      <c r="D163" s="349">
        <v>1858</v>
      </c>
      <c r="E163" s="350">
        <v>0.957</v>
      </c>
      <c r="F163" s="349">
        <v>833</v>
      </c>
      <c r="G163" s="350">
        <v>0.429</v>
      </c>
    </row>
    <row r="164" spans="1:7" ht="12.75">
      <c r="A164" s="360">
        <v>8</v>
      </c>
      <c r="B164" s="348" t="s">
        <v>378</v>
      </c>
      <c r="C164" s="349">
        <v>752</v>
      </c>
      <c r="D164" s="349">
        <v>742</v>
      </c>
      <c r="E164" s="350">
        <v>0.987</v>
      </c>
      <c r="F164" s="349">
        <v>337</v>
      </c>
      <c r="G164" s="350">
        <v>0.448</v>
      </c>
    </row>
    <row r="165" spans="1:7" ht="12.75">
      <c r="A165" s="360">
        <v>9</v>
      </c>
      <c r="B165" s="348" t="s">
        <v>379</v>
      </c>
      <c r="C165" s="349">
        <v>1201</v>
      </c>
      <c r="D165" s="349">
        <v>1147</v>
      </c>
      <c r="E165" s="350">
        <v>0.955</v>
      </c>
      <c r="F165" s="349">
        <v>363</v>
      </c>
      <c r="G165" s="350">
        <v>0.302</v>
      </c>
    </row>
    <row r="166" spans="1:7" ht="12.75">
      <c r="A166" s="360">
        <v>10</v>
      </c>
      <c r="B166" s="348" t="s">
        <v>380</v>
      </c>
      <c r="C166" s="349">
        <v>919</v>
      </c>
      <c r="D166" s="349">
        <v>911</v>
      </c>
      <c r="E166" s="350">
        <v>0.991</v>
      </c>
      <c r="F166" s="349">
        <v>221</v>
      </c>
      <c r="G166" s="350">
        <v>0.24</v>
      </c>
    </row>
    <row r="167" spans="1:7" ht="12.75">
      <c r="A167" s="360">
        <v>11</v>
      </c>
      <c r="B167" s="348" t="s">
        <v>381</v>
      </c>
      <c r="C167" s="349">
        <v>993</v>
      </c>
      <c r="D167" s="349">
        <v>903</v>
      </c>
      <c r="E167" s="350">
        <v>0.909</v>
      </c>
      <c r="F167" s="349">
        <v>350</v>
      </c>
      <c r="G167" s="350">
        <v>0.352</v>
      </c>
    </row>
    <row r="168" spans="1:7" ht="12.75">
      <c r="A168" s="360">
        <v>12</v>
      </c>
      <c r="B168" s="348" t="s">
        <v>382</v>
      </c>
      <c r="C168" s="349">
        <v>2112</v>
      </c>
      <c r="D168" s="349">
        <v>1987</v>
      </c>
      <c r="E168" s="350">
        <v>0.941</v>
      </c>
      <c r="F168" s="349">
        <v>462</v>
      </c>
      <c r="G168" s="350">
        <v>0.219</v>
      </c>
    </row>
    <row r="169" spans="1:7" ht="12.75">
      <c r="A169" s="360">
        <v>13</v>
      </c>
      <c r="B169" s="348" t="s">
        <v>383</v>
      </c>
      <c r="C169" s="349">
        <v>1302</v>
      </c>
      <c r="D169" s="349">
        <v>1202</v>
      </c>
      <c r="E169" s="350">
        <v>0.923</v>
      </c>
      <c r="F169" s="349">
        <v>275</v>
      </c>
      <c r="G169" s="350">
        <v>0.211</v>
      </c>
    </row>
    <row r="170" spans="1:7" ht="12.75">
      <c r="A170" s="360">
        <v>14</v>
      </c>
      <c r="B170" s="348" t="s">
        <v>384</v>
      </c>
      <c r="C170" s="349">
        <v>1788</v>
      </c>
      <c r="D170" s="349">
        <v>1564</v>
      </c>
      <c r="E170" s="350">
        <v>0.875</v>
      </c>
      <c r="F170" s="349">
        <v>430</v>
      </c>
      <c r="G170" s="350">
        <v>0.24</v>
      </c>
    </row>
    <row r="171" spans="1:7" ht="12.75">
      <c r="A171" s="360">
        <v>15</v>
      </c>
      <c r="B171" s="348" t="s">
        <v>385</v>
      </c>
      <c r="C171" s="349">
        <v>339</v>
      </c>
      <c r="D171" s="349">
        <v>331</v>
      </c>
      <c r="E171" s="350">
        <v>0.976</v>
      </c>
      <c r="F171" s="349">
        <v>37</v>
      </c>
      <c r="G171" s="350">
        <v>0.109</v>
      </c>
    </row>
    <row r="172" spans="1:7" ht="12.75">
      <c r="A172" s="360">
        <v>16</v>
      </c>
      <c r="B172" s="348" t="s">
        <v>386</v>
      </c>
      <c r="C172" s="349">
        <v>1370</v>
      </c>
      <c r="D172" s="349">
        <v>1309</v>
      </c>
      <c r="E172" s="350">
        <v>0.955</v>
      </c>
      <c r="F172" s="349">
        <v>459</v>
      </c>
      <c r="G172" s="350">
        <v>0.335</v>
      </c>
    </row>
    <row r="173" spans="1:7" ht="12.75">
      <c r="A173" s="360">
        <v>17</v>
      </c>
      <c r="B173" s="348" t="s">
        <v>387</v>
      </c>
      <c r="C173" s="349">
        <v>283</v>
      </c>
      <c r="D173" s="349">
        <v>257</v>
      </c>
      <c r="E173" s="350">
        <v>0.908</v>
      </c>
      <c r="F173" s="349">
        <v>36</v>
      </c>
      <c r="G173" s="350">
        <v>0.127</v>
      </c>
    </row>
    <row r="174" spans="1:98" s="409" customFormat="1" ht="19.5" customHeight="1">
      <c r="A174" s="362" t="s">
        <v>388</v>
      </c>
      <c r="B174" s="363" t="s">
        <v>389</v>
      </c>
      <c r="C174" s="358">
        <v>30257</v>
      </c>
      <c r="D174" s="358">
        <v>28891</v>
      </c>
      <c r="E174" s="359">
        <v>0.9548534223485474</v>
      </c>
      <c r="F174" s="358">
        <v>18988</v>
      </c>
      <c r="G174" s="359">
        <v>0.6275572594771458</v>
      </c>
      <c r="CS174" s="410"/>
      <c r="CT174" s="410"/>
    </row>
    <row r="175" spans="1:7" ht="12.75">
      <c r="A175" s="360">
        <v>1</v>
      </c>
      <c r="B175" s="348" t="s">
        <v>390</v>
      </c>
      <c r="C175" s="349">
        <v>2248</v>
      </c>
      <c r="D175" s="349">
        <v>2199</v>
      </c>
      <c r="E175" s="350">
        <v>0.978</v>
      </c>
      <c r="F175" s="349">
        <v>2158</v>
      </c>
      <c r="G175" s="350">
        <v>0.96</v>
      </c>
    </row>
    <row r="176" spans="1:7" ht="12.75">
      <c r="A176" s="360">
        <v>2</v>
      </c>
      <c r="B176" s="348" t="s">
        <v>391</v>
      </c>
      <c r="C176" s="349">
        <v>1467</v>
      </c>
      <c r="D176" s="349">
        <v>1400</v>
      </c>
      <c r="E176" s="350">
        <v>0.954</v>
      </c>
      <c r="F176" s="349">
        <v>792</v>
      </c>
      <c r="G176" s="350">
        <v>0.54</v>
      </c>
    </row>
    <row r="177" spans="1:7" ht="12.75">
      <c r="A177" s="360">
        <v>3</v>
      </c>
      <c r="B177" s="348" t="s">
        <v>392</v>
      </c>
      <c r="C177" s="349">
        <v>836</v>
      </c>
      <c r="D177" s="349">
        <v>815</v>
      </c>
      <c r="E177" s="350">
        <v>0.975</v>
      </c>
      <c r="F177" s="349">
        <v>459</v>
      </c>
      <c r="G177" s="350">
        <v>0.549</v>
      </c>
    </row>
    <row r="178" spans="1:98" s="510" customFormat="1" ht="12.75">
      <c r="A178" s="509">
        <v>4</v>
      </c>
      <c r="B178" s="365" t="s">
        <v>206</v>
      </c>
      <c r="C178" s="366">
        <v>1550</v>
      </c>
      <c r="D178" s="366">
        <v>1536</v>
      </c>
      <c r="E178" s="367">
        <v>0.991</v>
      </c>
      <c r="F178" s="366">
        <v>856</v>
      </c>
      <c r="G178" s="367">
        <f>+F178/C178</f>
        <v>0.552258064516129</v>
      </c>
      <c r="CS178" s="512"/>
      <c r="CT178" s="512"/>
    </row>
    <row r="179" spans="1:7" ht="12.75">
      <c r="A179" s="360">
        <v>5</v>
      </c>
      <c r="B179" s="348" t="s">
        <v>393</v>
      </c>
      <c r="C179" s="349">
        <v>1612</v>
      </c>
      <c r="D179" s="349">
        <v>1576</v>
      </c>
      <c r="E179" s="350">
        <v>0.978</v>
      </c>
      <c r="F179" s="349">
        <v>769</v>
      </c>
      <c r="G179" s="350">
        <v>0.477</v>
      </c>
    </row>
    <row r="180" spans="1:7" ht="12.75">
      <c r="A180" s="360">
        <v>6</v>
      </c>
      <c r="B180" s="348" t="s">
        <v>394</v>
      </c>
      <c r="C180" s="349">
        <v>816</v>
      </c>
      <c r="D180" s="349">
        <v>788</v>
      </c>
      <c r="E180" s="350">
        <v>0.966</v>
      </c>
      <c r="F180" s="349">
        <v>474</v>
      </c>
      <c r="G180" s="350">
        <v>0.581</v>
      </c>
    </row>
    <row r="181" spans="1:7" ht="12.75">
      <c r="A181" s="360">
        <v>7</v>
      </c>
      <c r="B181" s="348" t="s">
        <v>395</v>
      </c>
      <c r="C181" s="349">
        <v>1851</v>
      </c>
      <c r="D181" s="349">
        <v>1813</v>
      </c>
      <c r="E181" s="350">
        <v>0.979</v>
      </c>
      <c r="F181" s="349">
        <v>818</v>
      </c>
      <c r="G181" s="350">
        <v>0.442</v>
      </c>
    </row>
    <row r="182" spans="1:7" ht="12.75">
      <c r="A182" s="360">
        <v>8</v>
      </c>
      <c r="B182" s="348" t="s">
        <v>396</v>
      </c>
      <c r="C182" s="349">
        <v>1265</v>
      </c>
      <c r="D182" s="349">
        <v>1172</v>
      </c>
      <c r="E182" s="350">
        <v>0.926</v>
      </c>
      <c r="F182" s="349">
        <v>863</v>
      </c>
      <c r="G182" s="350">
        <v>0.682</v>
      </c>
    </row>
    <row r="183" spans="1:7" ht="12.75">
      <c r="A183" s="360">
        <v>9</v>
      </c>
      <c r="B183" s="348" t="s">
        <v>207</v>
      </c>
      <c r="C183" s="349">
        <v>709</v>
      </c>
      <c r="D183" s="349">
        <v>686</v>
      </c>
      <c r="E183" s="350">
        <v>0.968</v>
      </c>
      <c r="F183" s="349">
        <v>528</v>
      </c>
      <c r="G183" s="350">
        <v>0.745</v>
      </c>
    </row>
    <row r="184" spans="1:7" ht="12.75">
      <c r="A184" s="360">
        <v>10</v>
      </c>
      <c r="B184" s="348" t="s">
        <v>397</v>
      </c>
      <c r="C184" s="349">
        <v>873</v>
      </c>
      <c r="D184" s="349">
        <v>752</v>
      </c>
      <c r="E184" s="350">
        <v>0.861</v>
      </c>
      <c r="F184" s="349">
        <v>510</v>
      </c>
      <c r="G184" s="350">
        <v>0.584</v>
      </c>
    </row>
    <row r="185" spans="1:7" ht="12.75">
      <c r="A185" s="360">
        <v>11</v>
      </c>
      <c r="B185" s="348" t="s">
        <v>398</v>
      </c>
      <c r="C185" s="349">
        <v>1576</v>
      </c>
      <c r="D185" s="349">
        <v>1531</v>
      </c>
      <c r="E185" s="350">
        <v>0.971</v>
      </c>
      <c r="F185" s="349">
        <v>872</v>
      </c>
      <c r="G185" s="350">
        <v>0.553</v>
      </c>
    </row>
    <row r="186" spans="1:7" ht="12.75">
      <c r="A186" s="360">
        <v>12</v>
      </c>
      <c r="B186" s="348" t="s">
        <v>399</v>
      </c>
      <c r="C186" s="349">
        <v>1408</v>
      </c>
      <c r="D186" s="349">
        <v>1350</v>
      </c>
      <c r="E186" s="350">
        <v>0.959</v>
      </c>
      <c r="F186" s="349">
        <v>874</v>
      </c>
      <c r="G186" s="350">
        <v>0.621</v>
      </c>
    </row>
    <row r="187" spans="1:7" ht="12.75">
      <c r="A187" s="360">
        <v>13</v>
      </c>
      <c r="B187" s="348" t="s">
        <v>400</v>
      </c>
      <c r="C187" s="349">
        <v>988</v>
      </c>
      <c r="D187" s="349">
        <v>955</v>
      </c>
      <c r="E187" s="350">
        <v>0.967</v>
      </c>
      <c r="F187" s="349">
        <v>363</v>
      </c>
      <c r="G187" s="350">
        <v>0.367</v>
      </c>
    </row>
    <row r="188" spans="1:7" ht="12.75">
      <c r="A188" s="360">
        <v>14</v>
      </c>
      <c r="B188" s="348" t="s">
        <v>401</v>
      </c>
      <c r="C188" s="349">
        <v>720</v>
      </c>
      <c r="D188" s="349">
        <v>632</v>
      </c>
      <c r="E188" s="350">
        <v>0.878</v>
      </c>
      <c r="F188" s="349">
        <v>404</v>
      </c>
      <c r="G188" s="350">
        <v>0.561</v>
      </c>
    </row>
    <row r="189" spans="1:7" ht="12.75">
      <c r="A189" s="360">
        <v>15</v>
      </c>
      <c r="B189" s="348" t="s">
        <v>402</v>
      </c>
      <c r="C189" s="349">
        <v>1923</v>
      </c>
      <c r="D189" s="349">
        <v>1847</v>
      </c>
      <c r="E189" s="350">
        <v>0.96</v>
      </c>
      <c r="F189" s="349">
        <v>1244</v>
      </c>
      <c r="G189" s="350">
        <v>0.647</v>
      </c>
    </row>
    <row r="190" spans="1:7" ht="12.75">
      <c r="A190" s="360">
        <v>16</v>
      </c>
      <c r="B190" s="348" t="s">
        <v>208</v>
      </c>
      <c r="C190" s="349">
        <v>464</v>
      </c>
      <c r="D190" s="349">
        <v>454</v>
      </c>
      <c r="E190" s="350">
        <v>0.978</v>
      </c>
      <c r="F190" s="349">
        <v>380</v>
      </c>
      <c r="G190" s="350">
        <v>0.819</v>
      </c>
    </row>
    <row r="191" spans="1:7" ht="12.75">
      <c r="A191" s="360">
        <v>17</v>
      </c>
      <c r="B191" s="348" t="s">
        <v>403</v>
      </c>
      <c r="C191" s="349">
        <v>531</v>
      </c>
      <c r="D191" s="349">
        <v>492</v>
      </c>
      <c r="E191" s="350">
        <v>0.927</v>
      </c>
      <c r="F191" s="349">
        <v>243</v>
      </c>
      <c r="G191" s="350">
        <v>0.458</v>
      </c>
    </row>
    <row r="192" spans="1:7" ht="12.75">
      <c r="A192" s="360">
        <v>18</v>
      </c>
      <c r="B192" s="348" t="s">
        <v>404</v>
      </c>
      <c r="C192" s="349">
        <v>1081</v>
      </c>
      <c r="D192" s="349">
        <v>988</v>
      </c>
      <c r="E192" s="350">
        <v>0.914</v>
      </c>
      <c r="F192" s="349">
        <v>401</v>
      </c>
      <c r="G192" s="350">
        <v>0.371</v>
      </c>
    </row>
    <row r="193" spans="1:7" ht="12.75">
      <c r="A193" s="360">
        <v>19</v>
      </c>
      <c r="B193" s="348" t="s">
        <v>405</v>
      </c>
      <c r="C193" s="349">
        <v>721</v>
      </c>
      <c r="D193" s="349">
        <v>691</v>
      </c>
      <c r="E193" s="350">
        <v>0.958</v>
      </c>
      <c r="F193" s="349">
        <v>532</v>
      </c>
      <c r="G193" s="350">
        <v>0.738</v>
      </c>
    </row>
    <row r="194" spans="1:7" ht="12.75">
      <c r="A194" s="360">
        <v>20</v>
      </c>
      <c r="B194" s="348" t="s">
        <v>406</v>
      </c>
      <c r="C194" s="349">
        <v>991</v>
      </c>
      <c r="D194" s="349">
        <v>943</v>
      </c>
      <c r="E194" s="350">
        <v>0.952</v>
      </c>
      <c r="F194" s="349">
        <v>756</v>
      </c>
      <c r="G194" s="350">
        <v>0.763</v>
      </c>
    </row>
    <row r="195" spans="1:7" ht="12.75">
      <c r="A195" s="360">
        <v>21</v>
      </c>
      <c r="B195" s="348" t="s">
        <v>407</v>
      </c>
      <c r="C195" s="349">
        <v>796</v>
      </c>
      <c r="D195" s="349">
        <v>787</v>
      </c>
      <c r="E195" s="350">
        <v>0.989</v>
      </c>
      <c r="F195" s="349">
        <v>603</v>
      </c>
      <c r="G195" s="350">
        <v>0.758</v>
      </c>
    </row>
    <row r="196" spans="1:7" ht="12.75">
      <c r="A196" s="360">
        <v>22</v>
      </c>
      <c r="B196" s="348" t="s">
        <v>408</v>
      </c>
      <c r="C196" s="349">
        <v>709</v>
      </c>
      <c r="D196" s="349">
        <v>691</v>
      </c>
      <c r="E196" s="350">
        <v>0.975</v>
      </c>
      <c r="F196" s="349">
        <v>289</v>
      </c>
      <c r="G196" s="350">
        <v>0.408</v>
      </c>
    </row>
    <row r="197" spans="1:7" ht="12.75">
      <c r="A197" s="360">
        <v>23</v>
      </c>
      <c r="B197" s="348" t="s">
        <v>409</v>
      </c>
      <c r="C197" s="349">
        <v>900</v>
      </c>
      <c r="D197" s="349">
        <v>884</v>
      </c>
      <c r="E197" s="350">
        <v>0.982</v>
      </c>
      <c r="F197" s="349">
        <v>459</v>
      </c>
      <c r="G197" s="350">
        <v>0.51</v>
      </c>
    </row>
    <row r="198" spans="1:7" ht="12.75">
      <c r="A198" s="360">
        <v>24</v>
      </c>
      <c r="B198" s="348" t="s">
        <v>209</v>
      </c>
      <c r="C198" s="349">
        <v>1061</v>
      </c>
      <c r="D198" s="349">
        <v>968</v>
      </c>
      <c r="E198" s="350">
        <v>0.912</v>
      </c>
      <c r="F198" s="349">
        <v>837</v>
      </c>
      <c r="G198" s="350">
        <v>0.789</v>
      </c>
    </row>
    <row r="199" spans="1:7" ht="12.75">
      <c r="A199" s="360">
        <v>25</v>
      </c>
      <c r="B199" s="348" t="s">
        <v>410</v>
      </c>
      <c r="C199" s="349">
        <v>691</v>
      </c>
      <c r="D199" s="349">
        <v>659</v>
      </c>
      <c r="E199" s="350">
        <v>0.954</v>
      </c>
      <c r="F199" s="349">
        <v>539</v>
      </c>
      <c r="G199" s="350">
        <v>0.78</v>
      </c>
    </row>
    <row r="200" spans="1:7" ht="12.75">
      <c r="A200" s="360">
        <v>26</v>
      </c>
      <c r="B200" s="348" t="s">
        <v>411</v>
      </c>
      <c r="C200" s="349">
        <v>1592</v>
      </c>
      <c r="D200" s="349">
        <v>1543</v>
      </c>
      <c r="E200" s="350">
        <v>0.969</v>
      </c>
      <c r="F200" s="349">
        <v>1117</v>
      </c>
      <c r="G200" s="350">
        <v>0.702</v>
      </c>
    </row>
    <row r="201" spans="1:7" ht="13.5" customHeight="1">
      <c r="A201" s="360">
        <v>27</v>
      </c>
      <c r="B201" s="348" t="s">
        <v>412</v>
      </c>
      <c r="C201" s="349">
        <v>878</v>
      </c>
      <c r="D201" s="349">
        <v>739</v>
      </c>
      <c r="E201" s="350">
        <v>0.842</v>
      </c>
      <c r="F201" s="349">
        <v>590</v>
      </c>
      <c r="G201" s="350">
        <v>0.672</v>
      </c>
    </row>
    <row r="202" spans="1:98" s="409" customFormat="1" ht="19.5" customHeight="1">
      <c r="A202" s="362" t="s">
        <v>413</v>
      </c>
      <c r="B202" s="363" t="s">
        <v>414</v>
      </c>
      <c r="C202" s="358">
        <v>30086</v>
      </c>
      <c r="D202" s="358">
        <v>28503</v>
      </c>
      <c r="E202" s="359">
        <v>0.9473841653925413</v>
      </c>
      <c r="F202" s="358">
        <v>12217</v>
      </c>
      <c r="G202" s="359">
        <v>0.4060692680981187</v>
      </c>
      <c r="CS202" s="410"/>
      <c r="CT202" s="410"/>
    </row>
    <row r="203" spans="1:7" ht="12.75">
      <c r="A203" s="360">
        <v>1</v>
      </c>
      <c r="B203" s="348" t="s">
        <v>210</v>
      </c>
      <c r="C203" s="349">
        <v>3709</v>
      </c>
      <c r="D203" s="349">
        <v>3669</v>
      </c>
      <c r="E203" s="350">
        <v>0.989</v>
      </c>
      <c r="F203" s="349">
        <v>3195</v>
      </c>
      <c r="G203" s="350">
        <v>0.861</v>
      </c>
    </row>
    <row r="204" spans="1:7" ht="12.75">
      <c r="A204" s="360">
        <v>2</v>
      </c>
      <c r="B204" s="348" t="s">
        <v>415</v>
      </c>
      <c r="C204" s="349">
        <v>1097</v>
      </c>
      <c r="D204" s="349">
        <v>1064</v>
      </c>
      <c r="E204" s="350">
        <v>0.97</v>
      </c>
      <c r="F204" s="349">
        <v>327</v>
      </c>
      <c r="G204" s="350">
        <v>0.298</v>
      </c>
    </row>
    <row r="205" spans="1:7" ht="12.75">
      <c r="A205" s="360">
        <v>3</v>
      </c>
      <c r="B205" s="348" t="s">
        <v>416</v>
      </c>
      <c r="C205" s="349">
        <v>1327</v>
      </c>
      <c r="D205" s="349">
        <v>1215</v>
      </c>
      <c r="E205" s="350">
        <v>0.916</v>
      </c>
      <c r="F205" s="349">
        <v>606</v>
      </c>
      <c r="G205" s="350">
        <v>0.457</v>
      </c>
    </row>
    <row r="206" spans="1:7" ht="12.75">
      <c r="A206" s="360">
        <v>4</v>
      </c>
      <c r="B206" s="348" t="s">
        <v>417</v>
      </c>
      <c r="C206" s="349">
        <v>1869</v>
      </c>
      <c r="D206" s="349">
        <v>1726</v>
      </c>
      <c r="E206" s="350">
        <v>0.923</v>
      </c>
      <c r="F206" s="349">
        <v>681</v>
      </c>
      <c r="G206" s="350">
        <v>0.395</v>
      </c>
    </row>
    <row r="207" spans="1:7" ht="12.75">
      <c r="A207" s="360">
        <v>5</v>
      </c>
      <c r="B207" s="348" t="s">
        <v>418</v>
      </c>
      <c r="C207" s="349">
        <v>700</v>
      </c>
      <c r="D207" s="349">
        <v>672</v>
      </c>
      <c r="E207" s="350">
        <v>0.96</v>
      </c>
      <c r="F207" s="349">
        <v>100</v>
      </c>
      <c r="G207" s="350">
        <v>0.143</v>
      </c>
    </row>
    <row r="208" spans="1:7" ht="12.75">
      <c r="A208" s="360">
        <v>6</v>
      </c>
      <c r="B208" s="348" t="s">
        <v>419</v>
      </c>
      <c r="C208" s="349">
        <v>929</v>
      </c>
      <c r="D208" s="349">
        <v>875</v>
      </c>
      <c r="E208" s="350">
        <v>0.942</v>
      </c>
      <c r="F208" s="349">
        <v>322</v>
      </c>
      <c r="G208" s="350">
        <v>0.347</v>
      </c>
    </row>
    <row r="209" spans="1:7" ht="12.75">
      <c r="A209" s="360">
        <v>7</v>
      </c>
      <c r="B209" s="348" t="s">
        <v>420</v>
      </c>
      <c r="C209" s="349">
        <v>1758</v>
      </c>
      <c r="D209" s="349">
        <v>1647</v>
      </c>
      <c r="E209" s="350">
        <v>0.937</v>
      </c>
      <c r="F209" s="349">
        <v>737</v>
      </c>
      <c r="G209" s="350">
        <v>0.419</v>
      </c>
    </row>
    <row r="210" spans="1:7" ht="12.75">
      <c r="A210" s="360">
        <v>8</v>
      </c>
      <c r="B210" s="348" t="s">
        <v>421</v>
      </c>
      <c r="C210" s="349">
        <v>1001</v>
      </c>
      <c r="D210" s="349">
        <v>874</v>
      </c>
      <c r="E210" s="350">
        <v>0.873</v>
      </c>
      <c r="F210" s="349">
        <v>199</v>
      </c>
      <c r="G210" s="350">
        <v>0.199</v>
      </c>
    </row>
    <row r="211" spans="1:7" ht="12.75">
      <c r="A211" s="360">
        <v>9</v>
      </c>
      <c r="B211" s="348" t="s">
        <v>422</v>
      </c>
      <c r="C211" s="349">
        <v>1045</v>
      </c>
      <c r="D211" s="349">
        <v>998</v>
      </c>
      <c r="E211" s="350">
        <v>0.955</v>
      </c>
      <c r="F211" s="349">
        <v>448</v>
      </c>
      <c r="G211" s="350">
        <v>0.429</v>
      </c>
    </row>
    <row r="212" spans="1:7" ht="12.75">
      <c r="A212" s="360">
        <v>10</v>
      </c>
      <c r="B212" s="348" t="s">
        <v>423</v>
      </c>
      <c r="C212" s="349">
        <v>1263</v>
      </c>
      <c r="D212" s="349">
        <v>1181</v>
      </c>
      <c r="E212" s="350">
        <v>0.935</v>
      </c>
      <c r="F212" s="349">
        <v>374</v>
      </c>
      <c r="G212" s="350">
        <v>0.296</v>
      </c>
    </row>
    <row r="213" spans="1:7" ht="12.75">
      <c r="A213" s="360">
        <v>11</v>
      </c>
      <c r="B213" s="348" t="s">
        <v>424</v>
      </c>
      <c r="C213" s="349">
        <v>1168</v>
      </c>
      <c r="D213" s="349">
        <v>1131</v>
      </c>
      <c r="E213" s="350">
        <v>0.968</v>
      </c>
      <c r="F213" s="349">
        <v>317</v>
      </c>
      <c r="G213" s="350">
        <v>0.271</v>
      </c>
    </row>
    <row r="214" spans="1:7" ht="12.75">
      <c r="A214" s="360">
        <v>12</v>
      </c>
      <c r="B214" s="348" t="s">
        <v>425</v>
      </c>
      <c r="C214" s="349">
        <v>1075</v>
      </c>
      <c r="D214" s="349">
        <v>986</v>
      </c>
      <c r="E214" s="350">
        <v>0.917</v>
      </c>
      <c r="F214" s="349">
        <v>261</v>
      </c>
      <c r="G214" s="350">
        <v>0.243</v>
      </c>
    </row>
    <row r="215" spans="1:7" ht="12.75">
      <c r="A215" s="360">
        <v>13</v>
      </c>
      <c r="B215" s="348" t="s">
        <v>426</v>
      </c>
      <c r="C215" s="349">
        <v>1182</v>
      </c>
      <c r="D215" s="349">
        <v>1088</v>
      </c>
      <c r="E215" s="350">
        <v>0.92</v>
      </c>
      <c r="F215" s="349">
        <v>446</v>
      </c>
      <c r="G215" s="350">
        <v>0.377</v>
      </c>
    </row>
    <row r="216" spans="1:7" ht="12.75">
      <c r="A216" s="360">
        <v>14</v>
      </c>
      <c r="B216" s="348" t="s">
        <v>427</v>
      </c>
      <c r="C216" s="349">
        <v>1279</v>
      </c>
      <c r="D216" s="349">
        <v>1232</v>
      </c>
      <c r="E216" s="350">
        <v>0.963</v>
      </c>
      <c r="F216" s="349">
        <v>498</v>
      </c>
      <c r="G216" s="350">
        <v>0.389</v>
      </c>
    </row>
    <row r="217" spans="1:7" ht="12.75">
      <c r="A217" s="360">
        <v>15</v>
      </c>
      <c r="B217" s="348" t="s">
        <v>432</v>
      </c>
      <c r="C217" s="349">
        <v>901</v>
      </c>
      <c r="D217" s="349">
        <v>820</v>
      </c>
      <c r="E217" s="350">
        <v>0.91</v>
      </c>
      <c r="F217" s="349">
        <v>366</v>
      </c>
      <c r="G217" s="350">
        <v>0.406</v>
      </c>
    </row>
    <row r="218" spans="1:7" ht="12.75">
      <c r="A218" s="360">
        <v>16</v>
      </c>
      <c r="B218" s="348" t="s">
        <v>433</v>
      </c>
      <c r="C218" s="349">
        <v>1290</v>
      </c>
      <c r="D218" s="349">
        <v>1254</v>
      </c>
      <c r="E218" s="350">
        <v>0.972</v>
      </c>
      <c r="F218" s="349">
        <v>525</v>
      </c>
      <c r="G218" s="350">
        <v>0.407</v>
      </c>
    </row>
    <row r="219" spans="1:7" ht="12.75">
      <c r="A219" s="360">
        <v>17</v>
      </c>
      <c r="B219" s="348" t="s">
        <v>434</v>
      </c>
      <c r="C219" s="349">
        <v>705</v>
      </c>
      <c r="D219" s="349">
        <v>701</v>
      </c>
      <c r="E219" s="350">
        <v>0.994</v>
      </c>
      <c r="F219" s="349">
        <v>152</v>
      </c>
      <c r="G219" s="350">
        <v>0.216</v>
      </c>
    </row>
    <row r="220" spans="1:7" ht="12.75">
      <c r="A220" s="360">
        <v>18</v>
      </c>
      <c r="B220" s="348" t="s">
        <v>435</v>
      </c>
      <c r="C220" s="349">
        <v>728</v>
      </c>
      <c r="D220" s="349">
        <v>610</v>
      </c>
      <c r="E220" s="350">
        <v>0.838</v>
      </c>
      <c r="F220" s="349">
        <v>329</v>
      </c>
      <c r="G220" s="350">
        <v>0.452</v>
      </c>
    </row>
    <row r="221" spans="1:7" ht="12.75">
      <c r="A221" s="360">
        <v>19</v>
      </c>
      <c r="B221" s="348" t="s">
        <v>436</v>
      </c>
      <c r="C221" s="349">
        <v>1724</v>
      </c>
      <c r="D221" s="349">
        <v>1634</v>
      </c>
      <c r="E221" s="350">
        <v>0.948</v>
      </c>
      <c r="F221" s="349">
        <v>527</v>
      </c>
      <c r="G221" s="350">
        <v>0.306</v>
      </c>
    </row>
    <row r="222" spans="1:7" ht="12.75">
      <c r="A222" s="360">
        <v>20</v>
      </c>
      <c r="B222" s="348" t="s">
        <v>437</v>
      </c>
      <c r="C222" s="349">
        <v>1856</v>
      </c>
      <c r="D222" s="349">
        <v>1804</v>
      </c>
      <c r="E222" s="350">
        <v>0.972</v>
      </c>
      <c r="F222" s="349">
        <v>598</v>
      </c>
      <c r="G222" s="350">
        <v>0.322</v>
      </c>
    </row>
    <row r="223" spans="1:7" ht="12.75">
      <c r="A223" s="360">
        <v>21</v>
      </c>
      <c r="B223" s="348" t="s">
        <v>438</v>
      </c>
      <c r="C223" s="349">
        <v>868</v>
      </c>
      <c r="D223" s="349">
        <v>825</v>
      </c>
      <c r="E223" s="350">
        <v>0.95</v>
      </c>
      <c r="F223" s="349">
        <v>308</v>
      </c>
      <c r="G223" s="350">
        <v>0.355</v>
      </c>
    </row>
    <row r="224" spans="1:7" ht="12.75">
      <c r="A224" s="360">
        <v>22</v>
      </c>
      <c r="B224" s="348" t="s">
        <v>439</v>
      </c>
      <c r="C224" s="349">
        <v>967</v>
      </c>
      <c r="D224" s="349">
        <v>930</v>
      </c>
      <c r="E224" s="350">
        <v>0.962</v>
      </c>
      <c r="F224" s="349">
        <v>300</v>
      </c>
      <c r="G224" s="350">
        <v>0.31</v>
      </c>
    </row>
    <row r="225" spans="1:7" ht="12.75">
      <c r="A225" s="360">
        <v>23</v>
      </c>
      <c r="B225" s="348" t="s">
        <v>440</v>
      </c>
      <c r="C225" s="349">
        <v>1645</v>
      </c>
      <c r="D225" s="349">
        <v>1567</v>
      </c>
      <c r="E225" s="350">
        <v>0.953</v>
      </c>
      <c r="F225" s="349">
        <v>601</v>
      </c>
      <c r="G225" s="350">
        <v>0.365</v>
      </c>
    </row>
    <row r="226" spans="1:98" s="414" customFormat="1" ht="19.5" customHeight="1">
      <c r="A226" s="362" t="s">
        <v>441</v>
      </c>
      <c r="B226" s="363" t="s">
        <v>442</v>
      </c>
      <c r="C226" s="358">
        <v>20696</v>
      </c>
      <c r="D226" s="358">
        <v>19735</v>
      </c>
      <c r="E226" s="359">
        <v>0.9535659064553537</v>
      </c>
      <c r="F226" s="358">
        <v>13273</v>
      </c>
      <c r="G226" s="359">
        <v>0.6413316582914573</v>
      </c>
      <c r="H226" s="410"/>
      <c r="I226" s="410"/>
      <c r="J226" s="410"/>
      <c r="K226" s="410"/>
      <c r="L226" s="410"/>
      <c r="M226" s="410"/>
      <c r="N226" s="410"/>
      <c r="O226" s="410"/>
      <c r="P226" s="410"/>
      <c r="Q226" s="410"/>
      <c r="R226" s="410"/>
      <c r="S226" s="410"/>
      <c r="T226" s="410"/>
      <c r="U226" s="410"/>
      <c r="V226" s="410"/>
      <c r="W226" s="410"/>
      <c r="X226" s="410"/>
      <c r="Y226" s="410"/>
      <c r="Z226" s="410"/>
      <c r="AA226" s="410"/>
      <c r="AB226" s="410"/>
      <c r="AC226" s="410"/>
      <c r="AD226" s="410"/>
      <c r="AE226" s="410"/>
      <c r="AF226" s="410"/>
      <c r="AG226" s="410"/>
      <c r="AH226" s="410"/>
      <c r="AI226" s="410"/>
      <c r="AJ226" s="410"/>
      <c r="AK226" s="410"/>
      <c r="AL226" s="410"/>
      <c r="AM226" s="410"/>
      <c r="AN226" s="410"/>
      <c r="AO226" s="410"/>
      <c r="AP226" s="410"/>
      <c r="AQ226" s="410"/>
      <c r="AR226" s="410"/>
      <c r="AS226" s="410"/>
      <c r="AT226" s="410"/>
      <c r="AU226" s="410"/>
      <c r="AV226" s="410"/>
      <c r="AW226" s="410"/>
      <c r="AX226" s="410"/>
      <c r="AY226" s="410"/>
      <c r="AZ226" s="410"/>
      <c r="BA226" s="410"/>
      <c r="BB226" s="410"/>
      <c r="BC226" s="410"/>
      <c r="BD226" s="410"/>
      <c r="BE226" s="410"/>
      <c r="BF226" s="410"/>
      <c r="BG226" s="410"/>
      <c r="BH226" s="410"/>
      <c r="BI226" s="410"/>
      <c r="BJ226" s="410"/>
      <c r="BK226" s="410"/>
      <c r="BL226" s="410"/>
      <c r="BM226" s="410"/>
      <c r="BN226" s="410"/>
      <c r="BO226" s="410"/>
      <c r="BP226" s="410"/>
      <c r="BQ226" s="410"/>
      <c r="BR226" s="410"/>
      <c r="BS226" s="410"/>
      <c r="BT226" s="410"/>
      <c r="BU226" s="410"/>
      <c r="BV226" s="410"/>
      <c r="BW226" s="410"/>
      <c r="BX226" s="410"/>
      <c r="BY226" s="410"/>
      <c r="BZ226" s="410"/>
      <c r="CA226" s="410"/>
      <c r="CB226" s="410"/>
      <c r="CC226" s="410"/>
      <c r="CD226" s="410"/>
      <c r="CE226" s="410"/>
      <c r="CF226" s="410"/>
      <c r="CG226" s="410"/>
      <c r="CH226" s="410"/>
      <c r="CI226" s="410"/>
      <c r="CJ226" s="410"/>
      <c r="CK226" s="410"/>
      <c r="CL226" s="410"/>
      <c r="CM226" s="410"/>
      <c r="CN226" s="410"/>
      <c r="CO226" s="410"/>
      <c r="CP226" s="410"/>
      <c r="CQ226" s="410"/>
      <c r="CR226" s="410"/>
      <c r="CS226" s="410"/>
      <c r="CT226" s="410"/>
    </row>
    <row r="227" spans="1:7" ht="12.75">
      <c r="A227" s="360">
        <v>1</v>
      </c>
      <c r="B227" s="348" t="s">
        <v>443</v>
      </c>
      <c r="C227" s="349">
        <v>1115</v>
      </c>
      <c r="D227" s="349">
        <v>1106</v>
      </c>
      <c r="E227" s="350">
        <v>0.992</v>
      </c>
      <c r="F227" s="349">
        <v>904</v>
      </c>
      <c r="G227" s="350">
        <v>0.811</v>
      </c>
    </row>
    <row r="228" spans="1:7" ht="12.75">
      <c r="A228" s="360">
        <v>2</v>
      </c>
      <c r="B228" s="348" t="s">
        <v>444</v>
      </c>
      <c r="C228" s="349">
        <v>3173</v>
      </c>
      <c r="D228" s="349">
        <v>2940</v>
      </c>
      <c r="E228" s="350">
        <v>0.927</v>
      </c>
      <c r="F228" s="349">
        <v>1203</v>
      </c>
      <c r="G228" s="350">
        <v>0.379</v>
      </c>
    </row>
    <row r="229" spans="1:7" ht="12.75">
      <c r="A229" s="360">
        <v>3</v>
      </c>
      <c r="B229" s="348" t="s">
        <v>445</v>
      </c>
      <c r="C229" s="349">
        <v>935</v>
      </c>
      <c r="D229" s="349">
        <v>921</v>
      </c>
      <c r="E229" s="350">
        <v>0.985</v>
      </c>
      <c r="F229" s="349">
        <v>650</v>
      </c>
      <c r="G229" s="350">
        <v>0.695</v>
      </c>
    </row>
    <row r="230" spans="1:7" ht="12.75">
      <c r="A230" s="360">
        <v>4</v>
      </c>
      <c r="B230" s="348" t="s">
        <v>211</v>
      </c>
      <c r="C230" s="349">
        <v>1325</v>
      </c>
      <c r="D230" s="349">
        <v>1290</v>
      </c>
      <c r="E230" s="350">
        <v>0.974</v>
      </c>
      <c r="F230" s="349">
        <v>1019</v>
      </c>
      <c r="G230" s="350">
        <v>0.769</v>
      </c>
    </row>
    <row r="231" spans="1:7" ht="12.75">
      <c r="A231" s="360">
        <v>5</v>
      </c>
      <c r="B231" s="348" t="s">
        <v>446</v>
      </c>
      <c r="C231" s="349">
        <v>3000</v>
      </c>
      <c r="D231" s="349">
        <v>2883</v>
      </c>
      <c r="E231" s="350">
        <v>0.961</v>
      </c>
      <c r="F231" s="349">
        <v>1752</v>
      </c>
      <c r="G231" s="350">
        <v>0.584</v>
      </c>
    </row>
    <row r="232" spans="1:7" ht="12.75">
      <c r="A232" s="360">
        <v>6</v>
      </c>
      <c r="B232" s="348" t="s">
        <v>447</v>
      </c>
      <c r="C232" s="349">
        <v>1262</v>
      </c>
      <c r="D232" s="349">
        <v>1240</v>
      </c>
      <c r="E232" s="350">
        <v>0.983</v>
      </c>
      <c r="F232" s="349">
        <v>1031</v>
      </c>
      <c r="G232" s="350">
        <v>0.817</v>
      </c>
    </row>
    <row r="233" spans="1:7" ht="12.75">
      <c r="A233" s="360">
        <v>7</v>
      </c>
      <c r="B233" s="348" t="s">
        <v>212</v>
      </c>
      <c r="C233" s="349">
        <v>757</v>
      </c>
      <c r="D233" s="349">
        <v>742</v>
      </c>
      <c r="E233" s="350">
        <v>0.98</v>
      </c>
      <c r="F233" s="349">
        <v>586</v>
      </c>
      <c r="G233" s="350">
        <v>0.774</v>
      </c>
    </row>
    <row r="234" spans="1:7" ht="12.75">
      <c r="A234" s="360">
        <v>8</v>
      </c>
      <c r="B234" s="348" t="s">
        <v>448</v>
      </c>
      <c r="C234" s="349">
        <v>1849</v>
      </c>
      <c r="D234" s="349">
        <v>1670</v>
      </c>
      <c r="E234" s="350">
        <v>0.903</v>
      </c>
      <c r="F234" s="349">
        <v>1398</v>
      </c>
      <c r="G234" s="350">
        <v>0.756</v>
      </c>
    </row>
    <row r="235" spans="1:7" ht="12.75">
      <c r="A235" s="360">
        <v>9</v>
      </c>
      <c r="B235" s="348" t="s">
        <v>449</v>
      </c>
      <c r="C235" s="349">
        <v>996</v>
      </c>
      <c r="D235" s="349">
        <v>943</v>
      </c>
      <c r="E235" s="350">
        <v>0.947</v>
      </c>
      <c r="F235" s="349">
        <v>493</v>
      </c>
      <c r="G235" s="350">
        <v>0.495</v>
      </c>
    </row>
    <row r="236" spans="1:7" ht="12.75">
      <c r="A236" s="360">
        <v>10</v>
      </c>
      <c r="B236" s="348" t="s">
        <v>450</v>
      </c>
      <c r="C236" s="349">
        <v>1417</v>
      </c>
      <c r="D236" s="349">
        <v>1351</v>
      </c>
      <c r="E236" s="350">
        <v>0.953</v>
      </c>
      <c r="F236" s="349">
        <v>791</v>
      </c>
      <c r="G236" s="350">
        <v>0.558</v>
      </c>
    </row>
    <row r="237" spans="1:7" ht="12.75">
      <c r="A237" s="360">
        <v>11</v>
      </c>
      <c r="B237" s="348" t="s">
        <v>451</v>
      </c>
      <c r="C237" s="349">
        <v>950</v>
      </c>
      <c r="D237" s="349">
        <v>919</v>
      </c>
      <c r="E237" s="350">
        <v>0.967</v>
      </c>
      <c r="F237" s="349">
        <v>662</v>
      </c>
      <c r="G237" s="350">
        <v>0.697</v>
      </c>
    </row>
    <row r="238" spans="1:7" ht="12.75">
      <c r="A238" s="360">
        <v>12</v>
      </c>
      <c r="B238" s="348" t="s">
        <v>213</v>
      </c>
      <c r="C238" s="349">
        <v>533</v>
      </c>
      <c r="D238" s="349">
        <v>461</v>
      </c>
      <c r="E238" s="350">
        <v>0.865</v>
      </c>
      <c r="F238" s="349">
        <v>379</v>
      </c>
      <c r="G238" s="350">
        <v>0.711</v>
      </c>
    </row>
    <row r="239" spans="1:7" ht="12.75">
      <c r="A239" s="360">
        <v>13</v>
      </c>
      <c r="B239" s="348" t="s">
        <v>214</v>
      </c>
      <c r="C239" s="349">
        <v>704</v>
      </c>
      <c r="D239" s="349">
        <v>677</v>
      </c>
      <c r="E239" s="350">
        <v>0.962</v>
      </c>
      <c r="F239" s="349">
        <v>527</v>
      </c>
      <c r="G239" s="350">
        <v>0.749</v>
      </c>
    </row>
    <row r="240" spans="1:98" s="510" customFormat="1" ht="12.75">
      <c r="A240" s="509">
        <v>14</v>
      </c>
      <c r="B240" s="365" t="s">
        <v>452</v>
      </c>
      <c r="C240" s="366">
        <v>1628</v>
      </c>
      <c r="D240" s="366">
        <v>1601</v>
      </c>
      <c r="E240" s="367">
        <v>0.983</v>
      </c>
      <c r="F240" s="366">
        <v>889</v>
      </c>
      <c r="G240" s="367">
        <f>+F240/C240</f>
        <v>0.5460687960687961</v>
      </c>
      <c r="CS240" s="512"/>
      <c r="CT240" s="512"/>
    </row>
    <row r="241" spans="1:7" ht="12.75">
      <c r="A241" s="360">
        <v>15</v>
      </c>
      <c r="B241" s="348" t="s">
        <v>453</v>
      </c>
      <c r="C241" s="349">
        <v>1052</v>
      </c>
      <c r="D241" s="349">
        <v>991</v>
      </c>
      <c r="E241" s="350">
        <v>0.942</v>
      </c>
      <c r="F241" s="349">
        <v>638</v>
      </c>
      <c r="G241" s="350">
        <v>0.606</v>
      </c>
    </row>
    <row r="242" spans="1:98" s="414" customFormat="1" ht="19.5" customHeight="1">
      <c r="A242" s="362" t="s">
        <v>454</v>
      </c>
      <c r="B242" s="363" t="s">
        <v>455</v>
      </c>
      <c r="C242" s="358">
        <v>21850</v>
      </c>
      <c r="D242" s="358">
        <v>20487</v>
      </c>
      <c r="E242" s="359">
        <v>0.9376201372997711</v>
      </c>
      <c r="F242" s="358">
        <v>9157</v>
      </c>
      <c r="G242" s="359">
        <v>0.4190846681922197</v>
      </c>
      <c r="H242" s="410"/>
      <c r="I242" s="410"/>
      <c r="J242" s="410"/>
      <c r="K242" s="410"/>
      <c r="L242" s="410"/>
      <c r="M242" s="410"/>
      <c r="N242" s="410"/>
      <c r="O242" s="410"/>
      <c r="P242" s="410"/>
      <c r="Q242" s="410"/>
      <c r="R242" s="410"/>
      <c r="S242" s="410"/>
      <c r="T242" s="410"/>
      <c r="U242" s="410"/>
      <c r="V242" s="410"/>
      <c r="W242" s="410"/>
      <c r="X242" s="410"/>
      <c r="Y242" s="410"/>
      <c r="Z242" s="410"/>
      <c r="AA242" s="410"/>
      <c r="AB242" s="410"/>
      <c r="AC242" s="410"/>
      <c r="AD242" s="410"/>
      <c r="AE242" s="410"/>
      <c r="AF242" s="410"/>
      <c r="AG242" s="410"/>
      <c r="AH242" s="410"/>
      <c r="AI242" s="410"/>
      <c r="AJ242" s="410"/>
      <c r="AK242" s="410"/>
      <c r="AL242" s="410"/>
      <c r="AM242" s="410"/>
      <c r="AN242" s="410"/>
      <c r="AO242" s="410"/>
      <c r="AP242" s="410"/>
      <c r="AQ242" s="410"/>
      <c r="AR242" s="410"/>
      <c r="AS242" s="410"/>
      <c r="AT242" s="410"/>
      <c r="AU242" s="410"/>
      <c r="AV242" s="410"/>
      <c r="AW242" s="410"/>
      <c r="AX242" s="410"/>
      <c r="AY242" s="410"/>
      <c r="AZ242" s="410"/>
      <c r="BA242" s="410"/>
      <c r="BB242" s="410"/>
      <c r="BC242" s="410"/>
      <c r="BD242" s="410"/>
      <c r="BE242" s="410"/>
      <c r="BF242" s="410"/>
      <c r="BG242" s="410"/>
      <c r="BH242" s="410"/>
      <c r="BI242" s="410"/>
      <c r="BJ242" s="410"/>
      <c r="BK242" s="410"/>
      <c r="BL242" s="410"/>
      <c r="BM242" s="410"/>
      <c r="BN242" s="410"/>
      <c r="BO242" s="410"/>
      <c r="BP242" s="410"/>
      <c r="BQ242" s="410"/>
      <c r="BR242" s="410"/>
      <c r="BS242" s="410"/>
      <c r="BT242" s="410"/>
      <c r="BU242" s="410"/>
      <c r="BV242" s="410"/>
      <c r="BW242" s="410"/>
      <c r="BX242" s="410"/>
      <c r="BY242" s="410"/>
      <c r="BZ242" s="410"/>
      <c r="CA242" s="410"/>
      <c r="CB242" s="410"/>
      <c r="CC242" s="410"/>
      <c r="CD242" s="410"/>
      <c r="CE242" s="410"/>
      <c r="CF242" s="410"/>
      <c r="CG242" s="410"/>
      <c r="CH242" s="410"/>
      <c r="CI242" s="410"/>
      <c r="CJ242" s="410"/>
      <c r="CK242" s="410"/>
      <c r="CL242" s="410"/>
      <c r="CM242" s="410"/>
      <c r="CN242" s="410"/>
      <c r="CO242" s="410"/>
      <c r="CP242" s="410"/>
      <c r="CQ242" s="410"/>
      <c r="CR242" s="410"/>
      <c r="CS242" s="410"/>
      <c r="CT242" s="410"/>
    </row>
    <row r="243" spans="1:7" ht="12.75">
      <c r="A243" s="360">
        <v>1</v>
      </c>
      <c r="B243" s="348" t="s">
        <v>456</v>
      </c>
      <c r="C243" s="349">
        <v>1837</v>
      </c>
      <c r="D243" s="349">
        <v>1808</v>
      </c>
      <c r="E243" s="350">
        <v>0.984</v>
      </c>
      <c r="F243" s="349">
        <v>1141</v>
      </c>
      <c r="G243" s="350">
        <v>0.621</v>
      </c>
    </row>
    <row r="244" spans="1:7" ht="12.75">
      <c r="A244" s="360">
        <v>2</v>
      </c>
      <c r="B244" s="348" t="s">
        <v>457</v>
      </c>
      <c r="C244" s="349">
        <v>1489</v>
      </c>
      <c r="D244" s="349">
        <v>1307</v>
      </c>
      <c r="E244" s="350">
        <v>0.878</v>
      </c>
      <c r="F244" s="349">
        <v>934</v>
      </c>
      <c r="G244" s="350">
        <v>0.627</v>
      </c>
    </row>
    <row r="245" spans="1:7" ht="12.75">
      <c r="A245" s="360">
        <v>3</v>
      </c>
      <c r="B245" s="348" t="s">
        <v>458</v>
      </c>
      <c r="C245" s="349">
        <v>1745</v>
      </c>
      <c r="D245" s="349">
        <v>1648</v>
      </c>
      <c r="E245" s="350">
        <v>0.944</v>
      </c>
      <c r="F245" s="349">
        <v>565</v>
      </c>
      <c r="G245" s="350">
        <v>0.324</v>
      </c>
    </row>
    <row r="246" spans="1:7" ht="12.75">
      <c r="A246" s="360">
        <v>4</v>
      </c>
      <c r="B246" s="348" t="s">
        <v>459</v>
      </c>
      <c r="C246" s="349">
        <v>1343</v>
      </c>
      <c r="D246" s="349">
        <v>1287</v>
      </c>
      <c r="E246" s="350">
        <v>0.958</v>
      </c>
      <c r="F246" s="349">
        <v>639</v>
      </c>
      <c r="G246" s="350">
        <v>0.476</v>
      </c>
    </row>
    <row r="247" spans="1:7" ht="12.75">
      <c r="A247" s="360">
        <v>5</v>
      </c>
      <c r="B247" s="348" t="s">
        <v>460</v>
      </c>
      <c r="C247" s="349">
        <v>1610</v>
      </c>
      <c r="D247" s="349">
        <v>1560</v>
      </c>
      <c r="E247" s="350">
        <v>0.969</v>
      </c>
      <c r="F247" s="349">
        <v>342</v>
      </c>
      <c r="G247" s="350">
        <v>0.212</v>
      </c>
    </row>
    <row r="248" spans="1:7" ht="12.75">
      <c r="A248" s="360">
        <v>6</v>
      </c>
      <c r="B248" s="348" t="s">
        <v>461</v>
      </c>
      <c r="C248" s="349">
        <v>972</v>
      </c>
      <c r="D248" s="349">
        <v>817</v>
      </c>
      <c r="E248" s="350">
        <v>0.841</v>
      </c>
      <c r="F248" s="349">
        <v>260</v>
      </c>
      <c r="G248" s="350">
        <v>0.267</v>
      </c>
    </row>
    <row r="249" spans="1:7" ht="12.75">
      <c r="A249" s="360">
        <v>7</v>
      </c>
      <c r="B249" s="348" t="s">
        <v>462</v>
      </c>
      <c r="C249" s="349">
        <v>1367</v>
      </c>
      <c r="D249" s="349">
        <v>1221</v>
      </c>
      <c r="E249" s="350">
        <v>0.893</v>
      </c>
      <c r="F249" s="349">
        <v>439</v>
      </c>
      <c r="G249" s="350">
        <v>0.321</v>
      </c>
    </row>
    <row r="250" spans="1:7" ht="12.75">
      <c r="A250" s="360">
        <v>8</v>
      </c>
      <c r="B250" s="348" t="s">
        <v>463</v>
      </c>
      <c r="C250" s="349">
        <v>1379</v>
      </c>
      <c r="D250" s="349">
        <v>1333</v>
      </c>
      <c r="E250" s="350">
        <v>0.967</v>
      </c>
      <c r="F250" s="349">
        <v>785</v>
      </c>
      <c r="G250" s="350">
        <v>0.569</v>
      </c>
    </row>
    <row r="251" spans="1:7" ht="12.75">
      <c r="A251" s="360">
        <v>9</v>
      </c>
      <c r="B251" s="348" t="s">
        <v>464</v>
      </c>
      <c r="C251" s="349">
        <v>429</v>
      </c>
      <c r="D251" s="349">
        <v>383</v>
      </c>
      <c r="E251" s="350">
        <v>0.893</v>
      </c>
      <c r="F251" s="349">
        <v>112</v>
      </c>
      <c r="G251" s="350">
        <v>0.261</v>
      </c>
    </row>
    <row r="252" spans="1:7" ht="12.75">
      <c r="A252" s="360">
        <v>10</v>
      </c>
      <c r="B252" s="348" t="s">
        <v>465</v>
      </c>
      <c r="C252" s="349">
        <v>983</v>
      </c>
      <c r="D252" s="349">
        <v>913</v>
      </c>
      <c r="E252" s="350">
        <v>0.929</v>
      </c>
      <c r="F252" s="349">
        <v>219</v>
      </c>
      <c r="G252" s="350">
        <v>0.223</v>
      </c>
    </row>
    <row r="253" spans="1:7" ht="12.75">
      <c r="A253" s="360">
        <v>11</v>
      </c>
      <c r="B253" s="348" t="s">
        <v>466</v>
      </c>
      <c r="C253" s="349">
        <v>1211</v>
      </c>
      <c r="D253" s="349">
        <v>1187</v>
      </c>
      <c r="E253" s="350">
        <v>0.98</v>
      </c>
      <c r="F253" s="349">
        <v>658</v>
      </c>
      <c r="G253" s="350">
        <v>0.543</v>
      </c>
    </row>
    <row r="254" spans="1:7" ht="12.75">
      <c r="A254" s="360">
        <v>12</v>
      </c>
      <c r="B254" s="348" t="s">
        <v>467</v>
      </c>
      <c r="C254" s="349">
        <v>1543</v>
      </c>
      <c r="D254" s="349">
        <v>1405</v>
      </c>
      <c r="E254" s="350">
        <v>0.911</v>
      </c>
      <c r="F254" s="349">
        <v>435</v>
      </c>
      <c r="G254" s="350">
        <v>0.282</v>
      </c>
    </row>
    <row r="255" spans="1:7" ht="12.75">
      <c r="A255" s="360">
        <v>13</v>
      </c>
      <c r="B255" s="348" t="s">
        <v>468</v>
      </c>
      <c r="C255" s="349">
        <v>1487</v>
      </c>
      <c r="D255" s="349">
        <v>1420</v>
      </c>
      <c r="E255" s="350">
        <v>0.955</v>
      </c>
      <c r="F255" s="349">
        <v>799</v>
      </c>
      <c r="G255" s="350">
        <v>0.537</v>
      </c>
    </row>
    <row r="256" spans="1:7" ht="12.75">
      <c r="A256" s="360">
        <v>14</v>
      </c>
      <c r="B256" s="348" t="s">
        <v>469</v>
      </c>
      <c r="C256" s="349">
        <v>1237</v>
      </c>
      <c r="D256" s="349">
        <v>1219</v>
      </c>
      <c r="E256" s="350">
        <v>0.985</v>
      </c>
      <c r="F256" s="349">
        <v>438</v>
      </c>
      <c r="G256" s="350">
        <v>0.354</v>
      </c>
    </row>
    <row r="257" spans="1:7" ht="12.75">
      <c r="A257" s="360">
        <v>15</v>
      </c>
      <c r="B257" s="348" t="s">
        <v>470</v>
      </c>
      <c r="C257" s="349">
        <v>891</v>
      </c>
      <c r="D257" s="349">
        <v>846</v>
      </c>
      <c r="E257" s="350">
        <v>0.949</v>
      </c>
      <c r="F257" s="349">
        <v>560</v>
      </c>
      <c r="G257" s="350">
        <v>0.629</v>
      </c>
    </row>
    <row r="258" spans="1:7" ht="12.75">
      <c r="A258" s="360">
        <v>16</v>
      </c>
      <c r="B258" s="348" t="s">
        <v>471</v>
      </c>
      <c r="C258" s="349">
        <v>1148</v>
      </c>
      <c r="D258" s="349">
        <v>1083</v>
      </c>
      <c r="E258" s="350">
        <v>0.943</v>
      </c>
      <c r="F258" s="349">
        <v>485</v>
      </c>
      <c r="G258" s="350">
        <v>0.422</v>
      </c>
    </row>
    <row r="259" spans="1:7" ht="12.75">
      <c r="A259" s="360">
        <v>17</v>
      </c>
      <c r="B259" s="348" t="s">
        <v>472</v>
      </c>
      <c r="C259" s="349">
        <v>1179</v>
      </c>
      <c r="D259" s="349">
        <v>1050</v>
      </c>
      <c r="E259" s="350">
        <v>0.891</v>
      </c>
      <c r="F259" s="349">
        <v>346</v>
      </c>
      <c r="G259" s="350">
        <v>0.293</v>
      </c>
    </row>
    <row r="260" spans="1:98" s="414" customFormat="1" ht="19.5" customHeight="1">
      <c r="A260" s="362" t="s">
        <v>473</v>
      </c>
      <c r="B260" s="363" t="s">
        <v>960</v>
      </c>
      <c r="C260" s="358">
        <v>18062</v>
      </c>
      <c r="D260" s="358">
        <v>17023</v>
      </c>
      <c r="E260" s="359">
        <v>0.9424759162883402</v>
      </c>
      <c r="F260" s="358">
        <v>14482</v>
      </c>
      <c r="G260" s="359">
        <v>0.8017938212822501</v>
      </c>
      <c r="H260" s="41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410"/>
      <c r="AJ260" s="410"/>
      <c r="AK260" s="410"/>
      <c r="AL260" s="410"/>
      <c r="AM260" s="410"/>
      <c r="AN260" s="410"/>
      <c r="AO260" s="410"/>
      <c r="AP260" s="410"/>
      <c r="AQ260" s="410"/>
      <c r="AR260" s="410"/>
      <c r="AS260" s="410"/>
      <c r="AT260" s="410"/>
      <c r="AU260" s="410"/>
      <c r="AV260" s="410"/>
      <c r="AW260" s="410"/>
      <c r="AX260" s="410"/>
      <c r="AY260" s="410"/>
      <c r="AZ260" s="410"/>
      <c r="BA260" s="410"/>
      <c r="BB260" s="410"/>
      <c r="BC260" s="410"/>
      <c r="BD260" s="410"/>
      <c r="BE260" s="410"/>
      <c r="BF260" s="410"/>
      <c r="BG260" s="410"/>
      <c r="BH260" s="410"/>
      <c r="BI260" s="410"/>
      <c r="BJ260" s="410"/>
      <c r="BK260" s="410"/>
      <c r="BL260" s="410"/>
      <c r="BM260" s="410"/>
      <c r="BN260" s="410"/>
      <c r="BO260" s="410"/>
      <c r="BP260" s="410"/>
      <c r="BQ260" s="410"/>
      <c r="BR260" s="410"/>
      <c r="BS260" s="410"/>
      <c r="BT260" s="410"/>
      <c r="BU260" s="410"/>
      <c r="BV260" s="410"/>
      <c r="BW260" s="410"/>
      <c r="BX260" s="410"/>
      <c r="BY260" s="410"/>
      <c r="BZ260" s="410"/>
      <c r="CA260" s="410"/>
      <c r="CB260" s="410"/>
      <c r="CC260" s="410"/>
      <c r="CD260" s="410"/>
      <c r="CE260" s="410"/>
      <c r="CF260" s="410"/>
      <c r="CG260" s="410"/>
      <c r="CH260" s="410"/>
      <c r="CI260" s="410"/>
      <c r="CJ260" s="410"/>
      <c r="CK260" s="410"/>
      <c r="CL260" s="410"/>
      <c r="CM260" s="410"/>
      <c r="CN260" s="410"/>
      <c r="CO260" s="410"/>
      <c r="CP260" s="410"/>
      <c r="CQ260" s="410"/>
      <c r="CR260" s="410"/>
      <c r="CS260" s="410"/>
      <c r="CT260" s="410"/>
    </row>
    <row r="261" spans="1:98" ht="12.75">
      <c r="A261" s="360">
        <v>1</v>
      </c>
      <c r="B261" s="348" t="s">
        <v>215</v>
      </c>
      <c r="C261" s="349">
        <v>1625</v>
      </c>
      <c r="D261" s="349">
        <v>1616</v>
      </c>
      <c r="E261" s="350">
        <v>0.994</v>
      </c>
      <c r="F261" s="349">
        <v>1425</v>
      </c>
      <c r="G261" s="350">
        <v>0.877</v>
      </c>
      <c r="CT261" s="415"/>
    </row>
    <row r="262" spans="1:7" ht="12.75">
      <c r="A262" s="360">
        <v>2</v>
      </c>
      <c r="B262" s="348" t="s">
        <v>216</v>
      </c>
      <c r="C262" s="349">
        <v>1707</v>
      </c>
      <c r="D262" s="349">
        <v>1525</v>
      </c>
      <c r="E262" s="350">
        <v>0.893</v>
      </c>
      <c r="F262" s="349">
        <v>1549</v>
      </c>
      <c r="G262" s="350">
        <v>0.907</v>
      </c>
    </row>
    <row r="263" spans="1:98" s="510" customFormat="1" ht="12.75">
      <c r="A263" s="509">
        <v>3</v>
      </c>
      <c r="B263" s="365" t="s">
        <v>474</v>
      </c>
      <c r="C263" s="366">
        <v>1396</v>
      </c>
      <c r="D263" s="366">
        <v>1344</v>
      </c>
      <c r="E263" s="367">
        <v>0.963</v>
      </c>
      <c r="F263" s="366">
        <v>823</v>
      </c>
      <c r="G263" s="367">
        <f>+F263/C263</f>
        <v>0.589541547277937</v>
      </c>
      <c r="CS263" s="512"/>
      <c r="CT263" s="512"/>
    </row>
    <row r="264" spans="1:7" ht="12.75">
      <c r="A264" s="360">
        <v>4</v>
      </c>
      <c r="B264" s="348" t="s">
        <v>475</v>
      </c>
      <c r="C264" s="349">
        <v>2424</v>
      </c>
      <c r="D264" s="349">
        <v>2363</v>
      </c>
      <c r="E264" s="350">
        <v>0.975</v>
      </c>
      <c r="F264" s="349">
        <v>1381</v>
      </c>
      <c r="G264" s="350">
        <v>0.57</v>
      </c>
    </row>
    <row r="265" spans="1:7" ht="12.75">
      <c r="A265" s="360">
        <v>5</v>
      </c>
      <c r="B265" s="348" t="s">
        <v>217</v>
      </c>
      <c r="C265" s="349">
        <v>1445</v>
      </c>
      <c r="D265" s="349">
        <v>1332</v>
      </c>
      <c r="E265" s="350">
        <v>0.922</v>
      </c>
      <c r="F265" s="349">
        <v>1213</v>
      </c>
      <c r="G265" s="350">
        <v>0.839</v>
      </c>
    </row>
    <row r="266" spans="1:7" ht="12.75">
      <c r="A266" s="360">
        <v>6</v>
      </c>
      <c r="B266" s="348" t="s">
        <v>218</v>
      </c>
      <c r="C266" s="349">
        <v>1403</v>
      </c>
      <c r="D266" s="349">
        <v>1252</v>
      </c>
      <c r="E266" s="350">
        <v>0.892</v>
      </c>
      <c r="F266" s="349">
        <v>1239</v>
      </c>
      <c r="G266" s="350">
        <v>0.883</v>
      </c>
    </row>
    <row r="267" spans="1:7" ht="12.75">
      <c r="A267" s="360">
        <v>7</v>
      </c>
      <c r="B267" s="348" t="s">
        <v>219</v>
      </c>
      <c r="C267" s="349">
        <v>626</v>
      </c>
      <c r="D267" s="349">
        <v>616</v>
      </c>
      <c r="E267" s="350">
        <v>0.984</v>
      </c>
      <c r="F267" s="349">
        <v>593</v>
      </c>
      <c r="G267" s="350">
        <v>0.947</v>
      </c>
    </row>
    <row r="268" spans="1:7" ht="12.75">
      <c r="A268" s="360">
        <v>8</v>
      </c>
      <c r="B268" s="348" t="s">
        <v>220</v>
      </c>
      <c r="C268" s="349">
        <v>2063</v>
      </c>
      <c r="D268" s="349">
        <v>1956</v>
      </c>
      <c r="E268" s="350">
        <v>0.948</v>
      </c>
      <c r="F268" s="349">
        <v>1831</v>
      </c>
      <c r="G268" s="350">
        <v>0.888</v>
      </c>
    </row>
    <row r="269" spans="1:7" ht="12.75">
      <c r="A269" s="360">
        <v>9</v>
      </c>
      <c r="B269" s="348" t="s">
        <v>221</v>
      </c>
      <c r="C269" s="349">
        <v>2974</v>
      </c>
      <c r="D269" s="349">
        <v>2973</v>
      </c>
      <c r="E269" s="350">
        <v>1</v>
      </c>
      <c r="F269" s="349">
        <v>2677</v>
      </c>
      <c r="G269" s="350">
        <v>0.9</v>
      </c>
    </row>
    <row r="270" spans="1:7" ht="12.75">
      <c r="A270" s="360">
        <v>10</v>
      </c>
      <c r="B270" s="348" t="s">
        <v>222</v>
      </c>
      <c r="C270" s="349">
        <v>2399</v>
      </c>
      <c r="D270" s="349">
        <v>2046</v>
      </c>
      <c r="E270" s="350">
        <v>0.853</v>
      </c>
      <c r="F270" s="349">
        <v>1828</v>
      </c>
      <c r="G270" s="350">
        <v>0.762</v>
      </c>
    </row>
    <row r="271" spans="1:98" s="414" customFormat="1" ht="19.5" customHeight="1">
      <c r="A271" s="362" t="s">
        <v>476</v>
      </c>
      <c r="B271" s="363" t="s">
        <v>959</v>
      </c>
      <c r="C271" s="358">
        <v>11922</v>
      </c>
      <c r="D271" s="358">
        <v>11868</v>
      </c>
      <c r="E271" s="359">
        <v>0.9954705586311021</v>
      </c>
      <c r="F271" s="358">
        <v>10214</v>
      </c>
      <c r="G271" s="359">
        <v>0.8567354470726388</v>
      </c>
      <c r="H271" s="410"/>
      <c r="I271" s="410"/>
      <c r="J271" s="410"/>
      <c r="K271" s="410"/>
      <c r="L271" s="410"/>
      <c r="M271" s="410"/>
      <c r="N271" s="410"/>
      <c r="O271" s="410"/>
      <c r="P271" s="410"/>
      <c r="Q271" s="410"/>
      <c r="R271" s="410"/>
      <c r="S271" s="410"/>
      <c r="T271" s="410"/>
      <c r="U271" s="410"/>
      <c r="V271" s="410"/>
      <c r="W271" s="410"/>
      <c r="X271" s="410"/>
      <c r="Y271" s="410"/>
      <c r="Z271" s="410"/>
      <c r="AA271" s="410"/>
      <c r="AB271" s="410"/>
      <c r="AC271" s="410"/>
      <c r="AD271" s="410"/>
      <c r="AE271" s="410"/>
      <c r="AF271" s="410"/>
      <c r="AG271" s="410"/>
      <c r="AH271" s="410"/>
      <c r="AI271" s="410"/>
      <c r="AJ271" s="410"/>
      <c r="AK271" s="410"/>
      <c r="AL271" s="410"/>
      <c r="AM271" s="410"/>
      <c r="AN271" s="410"/>
      <c r="AO271" s="410"/>
      <c r="AP271" s="410"/>
      <c r="AQ271" s="410"/>
      <c r="AR271" s="410"/>
      <c r="AS271" s="410"/>
      <c r="AT271" s="410"/>
      <c r="AU271" s="410"/>
      <c r="AV271" s="410"/>
      <c r="AW271" s="410"/>
      <c r="AX271" s="410"/>
      <c r="AY271" s="410"/>
      <c r="AZ271" s="410"/>
      <c r="BA271" s="410"/>
      <c r="BB271" s="410"/>
      <c r="BC271" s="410"/>
      <c r="BD271" s="410"/>
      <c r="BE271" s="410"/>
      <c r="BF271" s="410"/>
      <c r="BG271" s="410"/>
      <c r="BH271" s="410"/>
      <c r="BI271" s="410"/>
      <c r="BJ271" s="410"/>
      <c r="BK271" s="410"/>
      <c r="BL271" s="410"/>
      <c r="BM271" s="410"/>
      <c r="BN271" s="410"/>
      <c r="BO271" s="410"/>
      <c r="BP271" s="410"/>
      <c r="BQ271" s="410"/>
      <c r="BR271" s="410"/>
      <c r="BS271" s="410"/>
      <c r="BT271" s="410"/>
      <c r="BU271" s="410"/>
      <c r="BV271" s="410"/>
      <c r="BW271" s="410"/>
      <c r="BX271" s="410"/>
      <c r="BY271" s="410"/>
      <c r="BZ271" s="410"/>
      <c r="CA271" s="410"/>
      <c r="CB271" s="410"/>
      <c r="CC271" s="410"/>
      <c r="CD271" s="410"/>
      <c r="CE271" s="410"/>
      <c r="CF271" s="410"/>
      <c r="CG271" s="410"/>
      <c r="CH271" s="410"/>
      <c r="CI271" s="410"/>
      <c r="CJ271" s="410"/>
      <c r="CK271" s="410"/>
      <c r="CL271" s="410"/>
      <c r="CM271" s="410"/>
      <c r="CN271" s="410"/>
      <c r="CO271" s="410"/>
      <c r="CP271" s="410"/>
      <c r="CQ271" s="410"/>
      <c r="CR271" s="410"/>
      <c r="CS271" s="410"/>
      <c r="CT271" s="410"/>
    </row>
    <row r="272" spans="1:7" ht="12.75">
      <c r="A272" s="360">
        <v>1</v>
      </c>
      <c r="B272" s="348" t="s">
        <v>223</v>
      </c>
      <c r="C272" s="349">
        <v>2112</v>
      </c>
      <c r="D272" s="349">
        <v>2103</v>
      </c>
      <c r="E272" s="350">
        <v>0.996</v>
      </c>
      <c r="F272" s="349">
        <v>1964</v>
      </c>
      <c r="G272" s="350">
        <v>0.93</v>
      </c>
    </row>
    <row r="273" spans="1:7" ht="12.75">
      <c r="A273" s="360">
        <v>2</v>
      </c>
      <c r="B273" s="348" t="s">
        <v>224</v>
      </c>
      <c r="C273" s="349">
        <v>2494</v>
      </c>
      <c r="D273" s="349">
        <v>2477</v>
      </c>
      <c r="E273" s="350">
        <v>0.993</v>
      </c>
      <c r="F273" s="349">
        <v>2377</v>
      </c>
      <c r="G273" s="350">
        <v>0.953</v>
      </c>
    </row>
    <row r="274" spans="1:7" ht="12.75">
      <c r="A274" s="360">
        <v>3</v>
      </c>
      <c r="B274" s="348" t="s">
        <v>225</v>
      </c>
      <c r="C274" s="349">
        <v>3395</v>
      </c>
      <c r="D274" s="349">
        <v>3390</v>
      </c>
      <c r="E274" s="350">
        <v>0.999</v>
      </c>
      <c r="F274" s="349">
        <v>2763</v>
      </c>
      <c r="G274" s="350">
        <v>0.814</v>
      </c>
    </row>
    <row r="275" spans="1:7" ht="12.75">
      <c r="A275" s="360">
        <v>4</v>
      </c>
      <c r="B275" s="348" t="s">
        <v>226</v>
      </c>
      <c r="C275" s="349">
        <v>910</v>
      </c>
      <c r="D275" s="349">
        <v>910</v>
      </c>
      <c r="E275" s="350">
        <v>1</v>
      </c>
      <c r="F275" s="349">
        <v>741</v>
      </c>
      <c r="G275" s="350">
        <v>0.814</v>
      </c>
    </row>
    <row r="276" spans="1:7" ht="12.75">
      <c r="A276" s="360">
        <v>5</v>
      </c>
      <c r="B276" s="348" t="s">
        <v>227</v>
      </c>
      <c r="C276" s="349">
        <v>997</v>
      </c>
      <c r="D276" s="349">
        <v>990</v>
      </c>
      <c r="E276" s="350">
        <v>0.993</v>
      </c>
      <c r="F276" s="349">
        <v>919</v>
      </c>
      <c r="G276" s="350">
        <v>0.922</v>
      </c>
    </row>
    <row r="277" spans="1:7" ht="12.75">
      <c r="A277" s="360">
        <v>6</v>
      </c>
      <c r="B277" s="348" t="s">
        <v>228</v>
      </c>
      <c r="C277" s="349">
        <v>2014</v>
      </c>
      <c r="D277" s="349">
        <v>1998</v>
      </c>
      <c r="E277" s="350">
        <v>0.992</v>
      </c>
      <c r="F277" s="349">
        <v>1450</v>
      </c>
      <c r="G277" s="350">
        <v>0.72</v>
      </c>
    </row>
    <row r="278" spans="1:98" s="414" customFormat="1" ht="19.5" customHeight="1">
      <c r="A278" s="1455" t="s">
        <v>480</v>
      </c>
      <c r="B278" s="1455"/>
      <c r="C278" s="358">
        <v>323083</v>
      </c>
      <c r="D278" s="358">
        <v>307768</v>
      </c>
      <c r="E278" s="359">
        <v>0.952597320193263</v>
      </c>
      <c r="F278" s="358">
        <v>189328</v>
      </c>
      <c r="G278" s="359">
        <v>0.5860042156349916</v>
      </c>
      <c r="H278" s="410"/>
      <c r="I278" s="410"/>
      <c r="J278" s="410"/>
      <c r="K278" s="410"/>
      <c r="L278" s="410"/>
      <c r="M278" s="410"/>
      <c r="N278" s="410"/>
      <c r="O278" s="410"/>
      <c r="P278" s="410"/>
      <c r="Q278" s="410"/>
      <c r="R278" s="410"/>
      <c r="S278" s="410"/>
      <c r="T278" s="410"/>
      <c r="U278" s="410"/>
      <c r="V278" s="410"/>
      <c r="W278" s="410"/>
      <c r="X278" s="410"/>
      <c r="Y278" s="410"/>
      <c r="Z278" s="410"/>
      <c r="AA278" s="410"/>
      <c r="AB278" s="410"/>
      <c r="AC278" s="410"/>
      <c r="AD278" s="410"/>
      <c r="AE278" s="410"/>
      <c r="AF278" s="410"/>
      <c r="AG278" s="410"/>
      <c r="AH278" s="410"/>
      <c r="AI278" s="410"/>
      <c r="AJ278" s="410"/>
      <c r="AK278" s="410"/>
      <c r="AL278" s="410"/>
      <c r="AM278" s="410"/>
      <c r="AN278" s="410"/>
      <c r="AO278" s="410"/>
      <c r="AP278" s="410"/>
      <c r="AQ278" s="410"/>
      <c r="AR278" s="410"/>
      <c r="AS278" s="410"/>
      <c r="AT278" s="410"/>
      <c r="AU278" s="410"/>
      <c r="AV278" s="410"/>
      <c r="AW278" s="410"/>
      <c r="AX278" s="410"/>
      <c r="AY278" s="410"/>
      <c r="AZ278" s="410"/>
      <c r="BA278" s="410"/>
      <c r="BB278" s="410"/>
      <c r="BC278" s="410"/>
      <c r="BD278" s="410"/>
      <c r="BE278" s="410"/>
      <c r="BF278" s="410"/>
      <c r="BG278" s="410"/>
      <c r="BH278" s="410"/>
      <c r="BI278" s="410"/>
      <c r="BJ278" s="410"/>
      <c r="BK278" s="410"/>
      <c r="BL278" s="410"/>
      <c r="BM278" s="410"/>
      <c r="BN278" s="410"/>
      <c r="BO278" s="410"/>
      <c r="BP278" s="410"/>
      <c r="BQ278" s="410"/>
      <c r="BR278" s="410"/>
      <c r="BS278" s="410"/>
      <c r="BT278" s="410"/>
      <c r="BU278" s="410"/>
      <c r="BV278" s="410"/>
      <c r="BW278" s="410"/>
      <c r="BX278" s="410"/>
      <c r="BY278" s="410"/>
      <c r="BZ278" s="410"/>
      <c r="CA278" s="410"/>
      <c r="CB278" s="410"/>
      <c r="CC278" s="410"/>
      <c r="CD278" s="410"/>
      <c r="CE278" s="410"/>
      <c r="CF278" s="410"/>
      <c r="CG278" s="410"/>
      <c r="CH278" s="410"/>
      <c r="CI278" s="410"/>
      <c r="CJ278" s="410"/>
      <c r="CK278" s="410"/>
      <c r="CL278" s="410"/>
      <c r="CM278" s="410"/>
      <c r="CN278" s="410"/>
      <c r="CO278" s="410"/>
      <c r="CP278" s="410"/>
      <c r="CQ278" s="410"/>
      <c r="CR278" s="410"/>
      <c r="CS278" s="410"/>
      <c r="CT278" s="410"/>
    </row>
  </sheetData>
  <sheetProtection/>
  <mergeCells count="3">
    <mergeCell ref="A1:G1"/>
    <mergeCell ref="A278:B278"/>
    <mergeCell ref="A2:G2"/>
  </mergeCells>
  <printOptions horizontalCentered="1"/>
  <pageMargins left="0.5905511811023623" right="0.5905511811023623" top="0.5905511811023623" bottom="0.5118110236220472" header="0.35433070866141736" footer="0.31496062992125984"/>
  <pageSetup firstPageNumber="34" useFirstPageNumber="1" horizontalDpi="600" verticalDpi="6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AG11"/>
  <sheetViews>
    <sheetView zoomScalePageLayoutView="0" workbookViewId="0" topLeftCell="A1">
      <selection activeCell="A1" sqref="A1"/>
    </sheetView>
  </sheetViews>
  <sheetFormatPr defaultColWidth="8.796875" defaultRowHeight="15"/>
  <cols>
    <col min="1" max="1" width="3.8984375" style="101" bestFit="1" customWidth="1"/>
    <col min="2" max="2" width="18.8984375" style="110" customWidth="1"/>
    <col min="3" max="3" width="7.3984375" style="110" bestFit="1" customWidth="1"/>
    <col min="4" max="4" width="10.3984375" style="110" customWidth="1"/>
    <col min="5" max="33" width="3.09765625" style="101" customWidth="1"/>
    <col min="34" max="16384" width="9" style="101" customWidth="1"/>
  </cols>
  <sheetData>
    <row r="1" spans="1:33" ht="19.5" customHeight="1">
      <c r="A1" s="122" t="s">
        <v>756</v>
      </c>
      <c r="B1" s="123"/>
      <c r="C1" s="123"/>
      <c r="D1" s="123"/>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row>
    <row r="2" spans="1:33" ht="19.5" customHeight="1">
      <c r="A2" s="125" t="s">
        <v>761</v>
      </c>
      <c r="B2" s="124"/>
      <c r="C2" s="124"/>
      <c r="D2" s="12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row>
    <row r="3" ht="19.5" customHeight="1">
      <c r="A3" s="109"/>
    </row>
    <row r="4" spans="1:33" ht="24" customHeight="1">
      <c r="A4" s="1457" t="s">
        <v>488</v>
      </c>
      <c r="B4" s="1457" t="s">
        <v>752</v>
      </c>
      <c r="C4" s="121" t="s">
        <v>753</v>
      </c>
      <c r="D4" s="121" t="s">
        <v>757</v>
      </c>
      <c r="E4" s="1456" t="s">
        <v>725</v>
      </c>
      <c r="F4" s="1456"/>
      <c r="G4" s="1456"/>
      <c r="H4" s="1456"/>
      <c r="I4" s="1456"/>
      <c r="J4" s="1456"/>
      <c r="K4" s="1456"/>
      <c r="L4" s="1456"/>
      <c r="M4" s="1456"/>
      <c r="N4" s="1456"/>
      <c r="O4" s="1456"/>
      <c r="P4" s="1456"/>
      <c r="Q4" s="1456" t="s">
        <v>726</v>
      </c>
      <c r="R4" s="1456"/>
      <c r="S4" s="1456"/>
      <c r="T4" s="1456"/>
      <c r="U4" s="1456"/>
      <c r="V4" s="1456"/>
      <c r="W4" s="1456"/>
      <c r="X4" s="1456"/>
      <c r="Y4" s="1456"/>
      <c r="Z4" s="1456"/>
      <c r="AA4" s="1456"/>
      <c r="AB4" s="1456"/>
      <c r="AC4" s="1456" t="s">
        <v>759</v>
      </c>
      <c r="AD4" s="1456"/>
      <c r="AE4" s="1456"/>
      <c r="AF4" s="1456"/>
      <c r="AG4" s="1456"/>
    </row>
    <row r="5" spans="1:33" ht="24.75" customHeight="1">
      <c r="A5" s="1458"/>
      <c r="B5" s="1458"/>
      <c r="C5" s="120" t="s">
        <v>754</v>
      </c>
      <c r="D5" s="120" t="s">
        <v>758</v>
      </c>
      <c r="E5" s="119">
        <v>1</v>
      </c>
      <c r="F5" s="119">
        <v>2</v>
      </c>
      <c r="G5" s="119">
        <v>3</v>
      </c>
      <c r="H5" s="119">
        <v>4</v>
      </c>
      <c r="I5" s="119">
        <v>5</v>
      </c>
      <c r="J5" s="119">
        <v>6</v>
      </c>
      <c r="K5" s="119">
        <v>7</v>
      </c>
      <c r="L5" s="119">
        <v>8</v>
      </c>
      <c r="M5" s="119">
        <v>9</v>
      </c>
      <c r="N5" s="119">
        <v>10</v>
      </c>
      <c r="O5" s="119">
        <v>11</v>
      </c>
      <c r="P5" s="119">
        <v>12</v>
      </c>
      <c r="Q5" s="119">
        <v>1</v>
      </c>
      <c r="R5" s="119">
        <v>2</v>
      </c>
      <c r="S5" s="119">
        <v>3</v>
      </c>
      <c r="T5" s="119">
        <v>4</v>
      </c>
      <c r="U5" s="119">
        <v>5</v>
      </c>
      <c r="V5" s="119">
        <v>6</v>
      </c>
      <c r="W5" s="119">
        <v>7</v>
      </c>
      <c r="X5" s="119">
        <v>8</v>
      </c>
      <c r="Y5" s="119">
        <v>9</v>
      </c>
      <c r="Z5" s="119">
        <v>10</v>
      </c>
      <c r="AA5" s="119">
        <v>11</v>
      </c>
      <c r="AB5" s="119">
        <v>12</v>
      </c>
      <c r="AC5" s="119">
        <v>1</v>
      </c>
      <c r="AD5" s="119">
        <v>2</v>
      </c>
      <c r="AE5" s="119">
        <v>3</v>
      </c>
      <c r="AF5" s="119">
        <v>4</v>
      </c>
      <c r="AG5" s="119" t="s">
        <v>760</v>
      </c>
    </row>
    <row r="6" spans="1:33" ht="18" customHeight="1">
      <c r="A6" s="116">
        <v>1</v>
      </c>
      <c r="B6" s="117" t="s">
        <v>755</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row>
    <row r="7" spans="1:33" ht="18" customHeight="1">
      <c r="A7" s="111">
        <v>2</v>
      </c>
      <c r="B7" s="112" t="s">
        <v>755</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row>
    <row r="8" spans="1:33" ht="18" customHeight="1">
      <c r="A8" s="111">
        <v>3</v>
      </c>
      <c r="B8" s="112" t="s">
        <v>755</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row>
    <row r="9" spans="1:33" ht="18" customHeight="1">
      <c r="A9" s="111">
        <v>4</v>
      </c>
      <c r="B9" s="112" t="s">
        <v>755</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row>
    <row r="10" spans="1:33" ht="18" customHeight="1">
      <c r="A10" s="111">
        <v>5</v>
      </c>
      <c r="B10" s="112" t="s">
        <v>755</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row>
    <row r="11" spans="1:33" ht="18" customHeight="1">
      <c r="A11" s="113">
        <v>6</v>
      </c>
      <c r="B11" s="114" t="s">
        <v>755</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row>
  </sheetData>
  <sheetProtection/>
  <mergeCells count="5">
    <mergeCell ref="E4:P4"/>
    <mergeCell ref="Q4:AB4"/>
    <mergeCell ref="AC4:AG4"/>
    <mergeCell ref="A4:A5"/>
    <mergeCell ref="B4:B5"/>
  </mergeCells>
  <printOptions/>
  <pageMargins left="0.39" right="0.34" top="1" bottom="1" header="0.5" footer="0.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D209"/>
  <sheetViews>
    <sheetView zoomScale="80" zoomScaleNormal="80" zoomScalePageLayoutView="0" workbookViewId="0" topLeftCell="A1">
      <pane xSplit="2" ySplit="3" topLeftCell="C179" activePane="bottomRight" state="frozen"/>
      <selection pane="topLeft" activeCell="A1" sqref="A1"/>
      <selection pane="topRight" activeCell="C1" sqref="C1"/>
      <selection pane="bottomLeft" activeCell="A4" sqref="A4"/>
      <selection pane="bottomRight" activeCell="G11" sqref="G11"/>
    </sheetView>
  </sheetViews>
  <sheetFormatPr defaultColWidth="8.796875" defaultRowHeight="15"/>
  <cols>
    <col min="1" max="1" width="4.3984375" style="618" customWidth="1"/>
    <col min="2" max="2" width="62.5" style="616" customWidth="1"/>
    <col min="3" max="3" width="13" style="617" customWidth="1"/>
    <col min="4" max="4" width="13.19921875" style="614" bestFit="1" customWidth="1"/>
    <col min="5" max="16384" width="9" style="614" customWidth="1"/>
  </cols>
  <sheetData>
    <row r="1" spans="1:3" ht="24" customHeight="1">
      <c r="A1" s="1463" t="s">
        <v>1351</v>
      </c>
      <c r="B1" s="1463"/>
      <c r="C1" s="1463"/>
    </row>
    <row r="2" spans="1:3" s="737" customFormat="1" ht="17.25" customHeight="1">
      <c r="A2" s="1021" t="s">
        <v>2316</v>
      </c>
      <c r="B2" s="735"/>
      <c r="C2" s="736"/>
    </row>
    <row r="3" spans="1:3" ht="15.75">
      <c r="A3" s="636"/>
      <c r="B3" s="636"/>
      <c r="C3" s="637"/>
    </row>
    <row r="4" spans="1:3" ht="24.75" customHeight="1">
      <c r="A4" s="1022" t="s">
        <v>607</v>
      </c>
      <c r="B4" s="1023" t="s">
        <v>1196</v>
      </c>
      <c r="C4" s="1024"/>
    </row>
    <row r="5" spans="1:3" s="615" customFormat="1" ht="18" customHeight="1">
      <c r="A5" s="1025">
        <v>1</v>
      </c>
      <c r="B5" s="1026" t="s">
        <v>1197</v>
      </c>
      <c r="C5" s="1027"/>
    </row>
    <row r="6" spans="1:3" ht="18" customHeight="1">
      <c r="A6" s="1028"/>
      <c r="B6" s="1029" t="s">
        <v>2311</v>
      </c>
      <c r="C6" s="1030">
        <v>4860</v>
      </c>
    </row>
    <row r="7" spans="1:4" s="787" customFormat="1" ht="18" customHeight="1">
      <c r="A7" s="1031"/>
      <c r="B7" s="1032" t="s">
        <v>1591</v>
      </c>
      <c r="C7" s="1033">
        <v>319500</v>
      </c>
      <c r="D7" s="786"/>
    </row>
    <row r="8" spans="1:3" s="787" customFormat="1" ht="18" customHeight="1">
      <c r="A8" s="1031"/>
      <c r="B8" s="1032" t="s">
        <v>1568</v>
      </c>
      <c r="C8" s="1034">
        <v>7</v>
      </c>
    </row>
    <row r="9" spans="1:3" s="787" customFormat="1" ht="18" customHeight="1">
      <c r="A9" s="1031"/>
      <c r="B9" s="1032" t="s">
        <v>1569</v>
      </c>
      <c r="C9" s="1035">
        <v>96</v>
      </c>
    </row>
    <row r="10" spans="1:3" s="787" customFormat="1" ht="18" customHeight="1">
      <c r="A10" s="1031"/>
      <c r="B10" s="1032" t="s">
        <v>1570</v>
      </c>
      <c r="C10" s="1034">
        <v>1</v>
      </c>
    </row>
    <row r="11" spans="1:3" s="787" customFormat="1" ht="18" customHeight="1">
      <c r="A11" s="1031"/>
      <c r="B11" s="1032" t="s">
        <v>1571</v>
      </c>
      <c r="C11" s="1035">
        <v>62340</v>
      </c>
    </row>
    <row r="12" spans="1:3" s="787" customFormat="1" ht="18" customHeight="1">
      <c r="A12" s="1031"/>
      <c r="B12" s="1032" t="s">
        <v>1572</v>
      </c>
      <c r="C12" s="1035">
        <f>0.8*C7</f>
        <v>255600</v>
      </c>
    </row>
    <row r="13" spans="1:3" s="787" customFormat="1" ht="18" customHeight="1">
      <c r="A13" s="1036"/>
      <c r="B13" s="1037" t="s">
        <v>1573</v>
      </c>
      <c r="C13" s="1038">
        <v>4.1</v>
      </c>
    </row>
    <row r="14" spans="1:3" s="788" customFormat="1" ht="18" customHeight="1">
      <c r="A14" s="1039">
        <v>2</v>
      </c>
      <c r="B14" s="1040" t="s">
        <v>1527</v>
      </c>
      <c r="C14" s="1041"/>
    </row>
    <row r="15" spans="1:3" s="615" customFormat="1" ht="18" customHeight="1">
      <c r="A15" s="1042"/>
      <c r="B15" s="1029" t="s">
        <v>1221</v>
      </c>
      <c r="C15" s="1030">
        <v>1500</v>
      </c>
    </row>
    <row r="16" spans="1:4" s="788" customFormat="1" ht="18" customHeight="1">
      <c r="A16" s="1043"/>
      <c r="B16" s="1032" t="s">
        <v>1528</v>
      </c>
      <c r="C16" s="1034">
        <v>251760</v>
      </c>
      <c r="D16" s="812"/>
    </row>
    <row r="17" spans="1:3" s="615" customFormat="1" ht="18" customHeight="1">
      <c r="A17" s="1044"/>
      <c r="B17" s="1045" t="s">
        <v>1396</v>
      </c>
      <c r="C17" s="1046">
        <f>C15/C12*100</f>
        <v>0.5868544600938966</v>
      </c>
    </row>
    <row r="18" spans="1:3" s="788" customFormat="1" ht="18" customHeight="1">
      <c r="A18" s="1043"/>
      <c r="B18" s="1032" t="s">
        <v>1529</v>
      </c>
      <c r="C18" s="1047">
        <v>98.5</v>
      </c>
    </row>
    <row r="19" spans="1:3" s="615" customFormat="1" ht="18" customHeight="1">
      <c r="A19" s="1044"/>
      <c r="B19" s="1045" t="s">
        <v>1222</v>
      </c>
      <c r="C19" s="1048">
        <v>6750</v>
      </c>
    </row>
    <row r="20" spans="1:3" s="788" customFormat="1" ht="18" customHeight="1">
      <c r="A20" s="1043"/>
      <c r="B20" s="1032" t="s">
        <v>1530</v>
      </c>
      <c r="C20" s="1034">
        <f>C19+102608</f>
        <v>109358</v>
      </c>
    </row>
    <row r="21" spans="1:3" s="615" customFormat="1" ht="18" customHeight="1">
      <c r="A21" s="1044"/>
      <c r="B21" s="1045" t="s">
        <v>1377</v>
      </c>
      <c r="C21" s="1049">
        <v>2.6</v>
      </c>
    </row>
    <row r="22" spans="1:3" s="788" customFormat="1" ht="18" customHeight="1">
      <c r="A22" s="1050"/>
      <c r="B22" s="1037" t="s">
        <v>1531</v>
      </c>
      <c r="C22" s="1051">
        <f>C20/C12*100</f>
        <v>42.784820031298906</v>
      </c>
    </row>
    <row r="23" spans="1:3" ht="18" customHeight="1">
      <c r="A23" s="1025">
        <v>3</v>
      </c>
      <c r="B23" s="1026" t="s">
        <v>1223</v>
      </c>
      <c r="C23" s="1052"/>
    </row>
    <row r="24" spans="1:3" ht="18" customHeight="1">
      <c r="A24" s="1028"/>
      <c r="B24" s="1029" t="s">
        <v>1532</v>
      </c>
      <c r="C24" s="1053">
        <v>661</v>
      </c>
    </row>
    <row r="25" spans="1:3" ht="18" customHeight="1">
      <c r="A25" s="1054"/>
      <c r="B25" s="1045" t="s">
        <v>1198</v>
      </c>
      <c r="C25" s="1055">
        <v>5</v>
      </c>
    </row>
    <row r="26" spans="1:3" ht="18" customHeight="1">
      <c r="A26" s="1054"/>
      <c r="B26" s="1045" t="s">
        <v>1199</v>
      </c>
      <c r="C26" s="1055">
        <v>656</v>
      </c>
    </row>
    <row r="27" spans="1:3" ht="18" customHeight="1">
      <c r="A27" s="1054"/>
      <c r="B27" s="1045" t="s">
        <v>1200</v>
      </c>
      <c r="C27" s="1055">
        <v>578</v>
      </c>
    </row>
    <row r="28" spans="1:3" ht="18" customHeight="1">
      <c r="A28" s="1054"/>
      <c r="B28" s="1045" t="s">
        <v>1201</v>
      </c>
      <c r="C28" s="1055">
        <v>661</v>
      </c>
    </row>
    <row r="29" spans="1:3" ht="18" customHeight="1">
      <c r="A29" s="1054"/>
      <c r="B29" s="1045" t="s">
        <v>1224</v>
      </c>
      <c r="C29" s="1055">
        <v>26370</v>
      </c>
    </row>
    <row r="30" spans="1:3" ht="18" customHeight="1">
      <c r="A30" s="1054"/>
      <c r="B30" s="1045" t="s">
        <v>1239</v>
      </c>
      <c r="C30" s="1055">
        <v>500</v>
      </c>
    </row>
    <row r="31" spans="1:3" ht="18" customHeight="1">
      <c r="A31" s="1054"/>
      <c r="B31" s="1045" t="s">
        <v>1272</v>
      </c>
      <c r="C31" s="1055">
        <v>5000</v>
      </c>
    </row>
    <row r="32" spans="1:3" ht="18" customHeight="1">
      <c r="A32" s="1054"/>
      <c r="B32" s="1045" t="s">
        <v>1225</v>
      </c>
      <c r="C32" s="1048"/>
    </row>
    <row r="33" spans="1:3" ht="18" customHeight="1">
      <c r="A33" s="1056"/>
      <c r="B33" s="1057" t="s">
        <v>1226</v>
      </c>
      <c r="C33" s="1058"/>
    </row>
    <row r="34" spans="1:3" s="787" customFormat="1" ht="18" customHeight="1">
      <c r="A34" s="1039">
        <v>4</v>
      </c>
      <c r="B34" s="1040" t="s">
        <v>1533</v>
      </c>
      <c r="C34" s="1059"/>
    </row>
    <row r="35" spans="1:3" ht="18" customHeight="1">
      <c r="A35" s="1042"/>
      <c r="B35" s="1029" t="s">
        <v>1388</v>
      </c>
      <c r="C35" s="1060">
        <v>1120</v>
      </c>
    </row>
    <row r="36" spans="1:3" s="787" customFormat="1" ht="18" customHeight="1">
      <c r="A36" s="1043"/>
      <c r="B36" s="1032" t="s">
        <v>1534</v>
      </c>
      <c r="C36" s="1061">
        <v>38930</v>
      </c>
    </row>
    <row r="37" spans="1:3" ht="18" customHeight="1">
      <c r="A37" s="1044"/>
      <c r="B37" s="1045" t="s">
        <v>1390</v>
      </c>
      <c r="C37" s="1062">
        <v>1.9</v>
      </c>
    </row>
    <row r="38" spans="1:3" s="787" customFormat="1" ht="18" customHeight="1">
      <c r="A38" s="1043"/>
      <c r="B38" s="1032" t="s">
        <v>1535</v>
      </c>
      <c r="C38" s="1348">
        <v>65.9</v>
      </c>
    </row>
    <row r="39" spans="1:3" ht="18" customHeight="1">
      <c r="A39" s="1054"/>
      <c r="B39" s="1032" t="s">
        <v>1395</v>
      </c>
      <c r="C39" s="1063">
        <v>2120</v>
      </c>
    </row>
    <row r="40" spans="1:3" s="787" customFormat="1" ht="18" customHeight="1">
      <c r="A40" s="1031"/>
      <c r="B40" s="1032" t="s">
        <v>1536</v>
      </c>
      <c r="C40" s="1064">
        <f>C39+C38</f>
        <v>2185.9</v>
      </c>
    </row>
    <row r="41" spans="1:3" ht="18" customHeight="1">
      <c r="A41" s="1054"/>
      <c r="B41" s="1045" t="s">
        <v>1391</v>
      </c>
      <c r="C41" s="1065">
        <f>C39*100/C40</f>
        <v>96.98522347774372</v>
      </c>
    </row>
    <row r="42" spans="1:3" ht="18" customHeight="1">
      <c r="A42" s="1054"/>
      <c r="B42" s="1032" t="s">
        <v>1392</v>
      </c>
      <c r="C42" s="1064">
        <f>C40+C39</f>
        <v>4305.9</v>
      </c>
    </row>
    <row r="43" spans="1:3" ht="18" customHeight="1">
      <c r="A43" s="1054"/>
      <c r="B43" s="1045" t="s">
        <v>1393</v>
      </c>
      <c r="C43" s="1064">
        <v>14785</v>
      </c>
    </row>
    <row r="44" spans="1:3" ht="18" customHeight="1">
      <c r="A44" s="1054"/>
      <c r="B44" s="1045" t="s">
        <v>1389</v>
      </c>
      <c r="C44" s="1064">
        <v>0</v>
      </c>
    </row>
    <row r="45" spans="1:3" ht="18" customHeight="1">
      <c r="A45" s="1056"/>
      <c r="B45" s="1057" t="s">
        <v>1394</v>
      </c>
      <c r="C45" s="1066">
        <v>53010</v>
      </c>
    </row>
    <row r="46" spans="1:3" s="787" customFormat="1" ht="18" customHeight="1">
      <c r="A46" s="1039">
        <v>5</v>
      </c>
      <c r="B46" s="1040" t="s">
        <v>1537</v>
      </c>
      <c r="C46" s="1067"/>
    </row>
    <row r="47" spans="1:3" s="787" customFormat="1" ht="18" customHeight="1">
      <c r="A47" s="1068"/>
      <c r="B47" s="1069" t="s">
        <v>1541</v>
      </c>
      <c r="C47" s="1070">
        <f>C48+C49+C50</f>
        <v>303</v>
      </c>
    </row>
    <row r="48" spans="1:3" ht="18" customHeight="1">
      <c r="A48" s="1054"/>
      <c r="B48" s="1045" t="s">
        <v>1228</v>
      </c>
      <c r="C48" s="1071">
        <v>114</v>
      </c>
    </row>
    <row r="49" spans="1:3" ht="18" customHeight="1">
      <c r="A49" s="1054"/>
      <c r="B49" s="1045" t="s">
        <v>1229</v>
      </c>
      <c r="C49" s="1071">
        <v>78</v>
      </c>
    </row>
    <row r="50" spans="1:3" ht="18" customHeight="1">
      <c r="A50" s="1054"/>
      <c r="B50" s="1045" t="s">
        <v>1230</v>
      </c>
      <c r="C50" s="1071">
        <v>111</v>
      </c>
    </row>
    <row r="51" spans="1:3" ht="18" customHeight="1">
      <c r="A51" s="1054"/>
      <c r="B51" s="1045" t="s">
        <v>1231</v>
      </c>
      <c r="C51" s="1071">
        <v>28</v>
      </c>
    </row>
    <row r="52" spans="1:3" s="787" customFormat="1" ht="18" customHeight="1">
      <c r="A52" s="1031"/>
      <c r="B52" s="1032" t="s">
        <v>1538</v>
      </c>
      <c r="C52" s="1071">
        <v>303</v>
      </c>
    </row>
    <row r="53" spans="1:3" ht="18" customHeight="1">
      <c r="A53" s="1054"/>
      <c r="B53" s="1045" t="s">
        <v>1232</v>
      </c>
      <c r="C53" s="1072">
        <v>9.2</v>
      </c>
    </row>
    <row r="54" spans="1:3" s="787" customFormat="1" ht="18" customHeight="1">
      <c r="A54" s="1036"/>
      <c r="B54" s="1037" t="s">
        <v>1539</v>
      </c>
      <c r="C54" s="1073">
        <v>100</v>
      </c>
    </row>
    <row r="55" spans="1:3" s="787" customFormat="1" ht="18" customHeight="1">
      <c r="A55" s="1039">
        <v>6</v>
      </c>
      <c r="B55" s="1040" t="s">
        <v>1540</v>
      </c>
      <c r="C55" s="1067"/>
    </row>
    <row r="56" spans="1:3" s="787" customFormat="1" ht="18" customHeight="1">
      <c r="A56" s="1068"/>
      <c r="B56" s="1069" t="s">
        <v>1542</v>
      </c>
      <c r="C56" s="1070">
        <v>96</v>
      </c>
    </row>
    <row r="57" spans="1:3" ht="18" customHeight="1">
      <c r="A57" s="1054"/>
      <c r="B57" s="1045" t="s">
        <v>1233</v>
      </c>
      <c r="C57" s="1071"/>
    </row>
    <row r="58" spans="1:3" s="787" customFormat="1" ht="18" customHeight="1">
      <c r="A58" s="1031"/>
      <c r="B58" s="1032" t="s">
        <v>1543</v>
      </c>
      <c r="C58" s="1074">
        <v>96</v>
      </c>
    </row>
    <row r="59" spans="1:3" s="787" customFormat="1" ht="18" customHeight="1">
      <c r="A59" s="1031"/>
      <c r="B59" s="1032" t="s">
        <v>1234</v>
      </c>
      <c r="C59" s="1075">
        <f>C57/C56*100</f>
        <v>0</v>
      </c>
    </row>
    <row r="60" spans="1:3" s="787" customFormat="1" ht="18" customHeight="1">
      <c r="A60" s="1036"/>
      <c r="B60" s="1037" t="s">
        <v>1544</v>
      </c>
      <c r="C60" s="1076">
        <v>100</v>
      </c>
    </row>
    <row r="61" spans="1:3" ht="18" customHeight="1">
      <c r="A61" s="1025">
        <v>7</v>
      </c>
      <c r="B61" s="1026" t="s">
        <v>1545</v>
      </c>
      <c r="C61" s="1077"/>
    </row>
    <row r="62" spans="1:3" ht="18" customHeight="1">
      <c r="A62" s="1028"/>
      <c r="B62" s="1029" t="s">
        <v>1235</v>
      </c>
      <c r="C62" s="1078"/>
    </row>
    <row r="63" spans="1:3" ht="18" customHeight="1">
      <c r="A63" s="1056"/>
      <c r="B63" s="1057" t="s">
        <v>1236</v>
      </c>
      <c r="C63" s="1079"/>
    </row>
    <row r="64" spans="1:3" s="788" customFormat="1" ht="18" customHeight="1">
      <c r="A64" s="1039">
        <v>8</v>
      </c>
      <c r="B64" s="1040" t="s">
        <v>1546</v>
      </c>
      <c r="C64" s="1041"/>
    </row>
    <row r="65" spans="1:3" s="787" customFormat="1" ht="18" customHeight="1">
      <c r="A65" s="1068"/>
      <c r="B65" s="1069" t="s">
        <v>1547</v>
      </c>
      <c r="C65" s="1080">
        <v>15576</v>
      </c>
    </row>
    <row r="66" spans="1:4" s="787" customFormat="1" ht="18" customHeight="1">
      <c r="A66" s="1031"/>
      <c r="B66" s="1032" t="s">
        <v>1548</v>
      </c>
      <c r="C66" s="1081">
        <v>13586</v>
      </c>
      <c r="D66" s="813"/>
    </row>
    <row r="67" spans="1:3" s="787" customFormat="1" ht="18" customHeight="1">
      <c r="A67" s="1031"/>
      <c r="B67" s="1032" t="s">
        <v>1549</v>
      </c>
      <c r="C67" s="1034">
        <v>1120</v>
      </c>
    </row>
    <row r="68" spans="1:3" s="787" customFormat="1" ht="18" customHeight="1">
      <c r="A68" s="1031"/>
      <c r="B68" s="1032" t="s">
        <v>1550</v>
      </c>
      <c r="C68" s="1034"/>
    </row>
    <row r="69" spans="1:3" s="787" customFormat="1" ht="18" customHeight="1">
      <c r="A69" s="1031"/>
      <c r="B69" s="1032" t="s">
        <v>1551</v>
      </c>
      <c r="C69" s="1034">
        <v>277900</v>
      </c>
    </row>
    <row r="70" spans="1:3" s="787" customFormat="1" ht="18" customHeight="1">
      <c r="A70" s="1031"/>
      <c r="B70" s="1032" t="s">
        <v>1552</v>
      </c>
      <c r="C70" s="1034"/>
    </row>
    <row r="71" spans="1:3" s="787" customFormat="1" ht="18" customHeight="1">
      <c r="A71" s="1031"/>
      <c r="B71" s="1032" t="s">
        <v>1553</v>
      </c>
      <c r="C71" s="1034"/>
    </row>
    <row r="72" spans="1:3" s="787" customFormat="1" ht="18" customHeight="1">
      <c r="A72" s="1036"/>
      <c r="B72" s="1037" t="s">
        <v>1554</v>
      </c>
      <c r="C72" s="1082"/>
    </row>
    <row r="73" spans="1:3" s="788" customFormat="1" ht="18" customHeight="1">
      <c r="A73" s="1039">
        <v>9</v>
      </c>
      <c r="B73" s="1040" t="s">
        <v>1555</v>
      </c>
      <c r="C73" s="1041"/>
    </row>
    <row r="74" spans="1:3" ht="18" customHeight="1">
      <c r="A74" s="1028"/>
      <c r="B74" s="1029" t="s">
        <v>1357</v>
      </c>
      <c r="C74" s="1083">
        <v>16.7</v>
      </c>
    </row>
    <row r="75" spans="1:3" ht="18" customHeight="1">
      <c r="A75" s="1056"/>
      <c r="B75" s="1057" t="s">
        <v>1358</v>
      </c>
      <c r="C75" s="1058">
        <v>5</v>
      </c>
    </row>
    <row r="76" spans="1:3" s="787" customFormat="1" ht="18" customHeight="1">
      <c r="A76" s="1039">
        <v>10</v>
      </c>
      <c r="B76" s="1040" t="s">
        <v>1556</v>
      </c>
      <c r="C76" s="1059"/>
    </row>
    <row r="77" spans="1:3" ht="18" customHeight="1">
      <c r="A77" s="1084"/>
      <c r="B77" s="1085" t="s">
        <v>1592</v>
      </c>
      <c r="C77" s="1086">
        <v>1650</v>
      </c>
    </row>
    <row r="78" spans="1:3" ht="18" customHeight="1">
      <c r="A78" s="1084"/>
      <c r="B78" s="1085" t="s">
        <v>1240</v>
      </c>
      <c r="C78" s="1086"/>
    </row>
    <row r="79" spans="1:3" ht="18" customHeight="1">
      <c r="A79" s="1084"/>
      <c r="B79" s="1085" t="s">
        <v>1241</v>
      </c>
      <c r="C79" s="1086"/>
    </row>
    <row r="80" spans="1:3" s="787" customFormat="1" ht="18" customHeight="1">
      <c r="A80" s="1087"/>
      <c r="B80" s="1088" t="s">
        <v>1557</v>
      </c>
      <c r="C80" s="1089">
        <v>0</v>
      </c>
    </row>
    <row r="81" spans="1:3" ht="18" customHeight="1">
      <c r="A81" s="1022" t="s">
        <v>608</v>
      </c>
      <c r="B81" s="1023" t="s">
        <v>1380</v>
      </c>
      <c r="C81" s="1090"/>
    </row>
    <row r="82" spans="1:3" s="615" customFormat="1" ht="18" customHeight="1">
      <c r="A82" s="1042">
        <v>1</v>
      </c>
      <c r="B82" s="1091" t="s">
        <v>1443</v>
      </c>
      <c r="C82" s="1092"/>
    </row>
    <row r="83" spans="1:3" ht="18" customHeight="1">
      <c r="A83" s="1054"/>
      <c r="B83" s="1045" t="s">
        <v>1273</v>
      </c>
      <c r="C83" s="1081">
        <v>82</v>
      </c>
    </row>
    <row r="84" spans="1:3" ht="18" customHeight="1">
      <c r="A84" s="1054"/>
      <c r="B84" s="1045" t="s">
        <v>1274</v>
      </c>
      <c r="C84" s="1081">
        <v>77</v>
      </c>
    </row>
    <row r="85" spans="1:3" ht="18" customHeight="1">
      <c r="A85" s="1054"/>
      <c r="B85" s="1045" t="s">
        <v>1302</v>
      </c>
      <c r="C85" s="1081">
        <v>32</v>
      </c>
    </row>
    <row r="86" spans="1:3" ht="18" customHeight="1">
      <c r="A86" s="1054"/>
      <c r="B86" s="1045" t="s">
        <v>1303</v>
      </c>
      <c r="C86" s="1081">
        <v>11438</v>
      </c>
    </row>
    <row r="87" spans="1:3" ht="18" customHeight="1">
      <c r="A87" s="1459"/>
      <c r="B87" s="1460" t="s">
        <v>1376</v>
      </c>
      <c r="C87" s="1461">
        <v>5803</v>
      </c>
    </row>
    <row r="88" spans="1:3" ht="18" customHeight="1" hidden="1">
      <c r="A88" s="1459"/>
      <c r="B88" s="1460"/>
      <c r="C88" s="1461"/>
    </row>
    <row r="89" spans="1:3" ht="18" customHeight="1">
      <c r="A89" s="1054"/>
      <c r="B89" s="1045" t="s">
        <v>1242</v>
      </c>
      <c r="C89" s="1081">
        <v>34</v>
      </c>
    </row>
    <row r="90" spans="1:3" ht="15.75" customHeight="1">
      <c r="A90" s="1054"/>
      <c r="B90" s="1045" t="s">
        <v>1444</v>
      </c>
      <c r="C90" s="1093">
        <v>169</v>
      </c>
    </row>
    <row r="91" spans="1:3" ht="15.75" customHeight="1">
      <c r="A91" s="1056"/>
      <c r="B91" s="1057" t="s">
        <v>1445</v>
      </c>
      <c r="C91" s="1094">
        <v>24</v>
      </c>
    </row>
    <row r="92" spans="1:3" s="615" customFormat="1" ht="18" customHeight="1">
      <c r="A92" s="1025">
        <v>2</v>
      </c>
      <c r="B92" s="1026" t="s">
        <v>1379</v>
      </c>
      <c r="C92" s="1027"/>
    </row>
    <row r="93" spans="1:3" s="615" customFormat="1" ht="18" customHeight="1">
      <c r="A93" s="1025" t="s">
        <v>910</v>
      </c>
      <c r="B93" s="1026" t="s">
        <v>1361</v>
      </c>
      <c r="C93" s="1027"/>
    </row>
    <row r="94" spans="1:3" s="615" customFormat="1" ht="18" customHeight="1">
      <c r="A94" s="1042"/>
      <c r="B94" s="1029" t="s">
        <v>1364</v>
      </c>
      <c r="C94" s="1095">
        <v>0</v>
      </c>
    </row>
    <row r="95" spans="1:3" s="615" customFormat="1" ht="18" customHeight="1">
      <c r="A95" s="1044"/>
      <c r="B95" s="1045" t="s">
        <v>1365</v>
      </c>
      <c r="C95" s="1096">
        <v>0</v>
      </c>
    </row>
    <row r="96" spans="1:3" s="615" customFormat="1" ht="18" customHeight="1">
      <c r="A96" s="1044"/>
      <c r="B96" s="1045" t="s">
        <v>1366</v>
      </c>
      <c r="C96" s="1096">
        <v>0</v>
      </c>
    </row>
    <row r="97" spans="1:3" s="615" customFormat="1" ht="18" customHeight="1">
      <c r="A97" s="1044"/>
      <c r="B97" s="1045" t="s">
        <v>1367</v>
      </c>
      <c r="C97" s="1096">
        <v>0</v>
      </c>
    </row>
    <row r="98" spans="1:3" s="615" customFormat="1" ht="18" customHeight="1">
      <c r="A98" s="1044"/>
      <c r="B98" s="1045" t="s">
        <v>1368</v>
      </c>
      <c r="C98" s="1096">
        <v>0</v>
      </c>
    </row>
    <row r="99" spans="1:3" ht="18" customHeight="1">
      <c r="A99" s="1054"/>
      <c r="B99" s="1045" t="s">
        <v>1369</v>
      </c>
      <c r="C99" s="1096">
        <v>0</v>
      </c>
    </row>
    <row r="100" spans="1:3" ht="33" customHeight="1">
      <c r="A100" s="1054"/>
      <c r="B100" s="1045" t="s">
        <v>1381</v>
      </c>
      <c r="C100" s="1096">
        <v>0</v>
      </c>
    </row>
    <row r="101" spans="1:3" ht="34.5" customHeight="1">
      <c r="A101" s="1056"/>
      <c r="B101" s="1057" t="s">
        <v>1382</v>
      </c>
      <c r="C101" s="1096">
        <v>0</v>
      </c>
    </row>
    <row r="102" spans="1:3" ht="18" customHeight="1">
      <c r="A102" s="1025" t="s">
        <v>911</v>
      </c>
      <c r="B102" s="1026" t="s">
        <v>1397</v>
      </c>
      <c r="C102" s="1097"/>
    </row>
    <row r="103" spans="1:3" ht="18" customHeight="1">
      <c r="A103" s="1028"/>
      <c r="B103" s="1029" t="s">
        <v>1370</v>
      </c>
      <c r="C103" s="1096">
        <v>0</v>
      </c>
    </row>
    <row r="104" spans="1:3" ht="18" customHeight="1">
      <c r="A104" s="1054"/>
      <c r="B104" s="1045" t="s">
        <v>1371</v>
      </c>
      <c r="C104" s="1096">
        <v>0</v>
      </c>
    </row>
    <row r="105" spans="1:3" ht="18" customHeight="1">
      <c r="A105" s="1054"/>
      <c r="B105" s="1045" t="s">
        <v>1372</v>
      </c>
      <c r="C105" s="1096">
        <v>0</v>
      </c>
    </row>
    <row r="106" spans="1:3" ht="18" customHeight="1">
      <c r="A106" s="1054"/>
      <c r="B106" s="1045" t="s">
        <v>1373</v>
      </c>
      <c r="C106" s="1096">
        <v>0</v>
      </c>
    </row>
    <row r="107" spans="1:3" ht="18" customHeight="1">
      <c r="A107" s="1054"/>
      <c r="B107" s="1045" t="s">
        <v>1374</v>
      </c>
      <c r="C107" s="1096">
        <v>614</v>
      </c>
    </row>
    <row r="108" spans="1:3" ht="18" customHeight="1">
      <c r="A108" s="1054"/>
      <c r="B108" s="1045" t="s">
        <v>1426</v>
      </c>
      <c r="C108" s="1098">
        <v>1</v>
      </c>
    </row>
    <row r="109" spans="1:3" ht="33.75" customHeight="1">
      <c r="A109" s="1054"/>
      <c r="B109" s="1045" t="s">
        <v>1383</v>
      </c>
      <c r="C109" s="1096">
        <v>0</v>
      </c>
    </row>
    <row r="110" spans="1:3" ht="34.5" customHeight="1">
      <c r="A110" s="1056"/>
      <c r="B110" s="1057" t="s">
        <v>1384</v>
      </c>
      <c r="C110" s="1099">
        <v>0</v>
      </c>
    </row>
    <row r="111" spans="1:3" ht="21" customHeight="1">
      <c r="A111" s="1025" t="s">
        <v>966</v>
      </c>
      <c r="B111" s="1026" t="s">
        <v>1428</v>
      </c>
      <c r="C111" s="1100"/>
    </row>
    <row r="112" spans="1:3" ht="20.25" customHeight="1">
      <c r="A112" s="1028"/>
      <c r="B112" s="1029" t="s">
        <v>1399</v>
      </c>
      <c r="C112" s="1098">
        <v>38</v>
      </c>
    </row>
    <row r="113" spans="1:3" ht="25.5" customHeight="1">
      <c r="A113" s="1054"/>
      <c r="B113" s="1045" t="s">
        <v>1400</v>
      </c>
      <c r="C113" s="1101">
        <v>28</v>
      </c>
    </row>
    <row r="114" spans="1:3" ht="22.5" customHeight="1">
      <c r="A114" s="1054"/>
      <c r="B114" s="1045" t="s">
        <v>1401</v>
      </c>
      <c r="C114" s="1102">
        <v>12</v>
      </c>
    </row>
    <row r="115" spans="1:3" ht="21.75" customHeight="1">
      <c r="A115" s="1054"/>
      <c r="B115" s="1045" t="s">
        <v>1402</v>
      </c>
      <c r="C115" s="1103">
        <v>5802</v>
      </c>
    </row>
    <row r="116" spans="1:3" ht="20.25" customHeight="1">
      <c r="A116" s="1054"/>
      <c r="B116" s="1045" t="s">
        <v>1403</v>
      </c>
      <c r="C116" s="1103">
        <v>350</v>
      </c>
    </row>
    <row r="117" spans="1:3" ht="18.75" customHeight="1">
      <c r="A117" s="1054"/>
      <c r="B117" s="1045" t="s">
        <v>1427</v>
      </c>
      <c r="C117" s="1103">
        <v>4</v>
      </c>
    </row>
    <row r="118" spans="1:3" ht="34.5" customHeight="1">
      <c r="A118" s="1054"/>
      <c r="B118" s="1045" t="s">
        <v>1404</v>
      </c>
      <c r="C118" s="1101">
        <v>5</v>
      </c>
    </row>
    <row r="119" spans="1:3" ht="39" customHeight="1">
      <c r="A119" s="1056"/>
      <c r="B119" s="1057" t="s">
        <v>1405</v>
      </c>
      <c r="C119" s="1104">
        <v>10</v>
      </c>
    </row>
    <row r="120" spans="1:3" ht="22.5" customHeight="1">
      <c r="A120" s="1025" t="s">
        <v>1398</v>
      </c>
      <c r="B120" s="1026" t="s">
        <v>1459</v>
      </c>
      <c r="C120" s="1105"/>
    </row>
    <row r="121" spans="1:3" ht="21" customHeight="1">
      <c r="A121" s="1106"/>
      <c r="B121" s="1029" t="s">
        <v>1460</v>
      </c>
      <c r="C121" s="1107">
        <v>2</v>
      </c>
    </row>
    <row r="122" spans="1:3" ht="18.75" customHeight="1">
      <c r="A122" s="1054"/>
      <c r="B122" s="1045" t="s">
        <v>1461</v>
      </c>
      <c r="C122" s="1101">
        <v>2</v>
      </c>
    </row>
    <row r="123" spans="1:3" ht="19.5" customHeight="1">
      <c r="A123" s="1054"/>
      <c r="B123" s="1045" t="s">
        <v>1462</v>
      </c>
      <c r="C123" s="1102">
        <v>1</v>
      </c>
    </row>
    <row r="124" spans="1:3" ht="19.5" customHeight="1">
      <c r="A124" s="1054"/>
      <c r="B124" s="1045" t="s">
        <v>1463</v>
      </c>
      <c r="C124" s="1103">
        <v>724</v>
      </c>
    </row>
    <row r="125" spans="1:3" ht="19.5" customHeight="1">
      <c r="A125" s="1054"/>
      <c r="B125" s="1045" t="s">
        <v>1464</v>
      </c>
      <c r="C125" s="1103">
        <v>577</v>
      </c>
    </row>
    <row r="126" spans="1:3" ht="19.5" customHeight="1">
      <c r="A126" s="1054"/>
      <c r="B126" s="1045" t="s">
        <v>1465</v>
      </c>
      <c r="C126" s="1102">
        <v>6</v>
      </c>
    </row>
    <row r="127" spans="1:3" ht="31.5" customHeight="1">
      <c r="A127" s="1054"/>
      <c r="B127" s="1045" t="s">
        <v>1466</v>
      </c>
      <c r="C127" s="1102">
        <v>26</v>
      </c>
    </row>
    <row r="128" spans="1:3" ht="36" customHeight="1">
      <c r="A128" s="1108"/>
      <c r="B128" s="1057" t="s">
        <v>1467</v>
      </c>
      <c r="C128" s="1102">
        <v>8</v>
      </c>
    </row>
    <row r="129" spans="1:3" ht="22.5" customHeight="1">
      <c r="A129" s="1025" t="s">
        <v>1468</v>
      </c>
      <c r="B129" s="1026" t="s">
        <v>1558</v>
      </c>
      <c r="C129" s="1109"/>
    </row>
    <row r="130" spans="1:3" ht="24.75" customHeight="1">
      <c r="A130" s="1106"/>
      <c r="B130" s="1029" t="s">
        <v>1469</v>
      </c>
      <c r="C130" s="1110">
        <v>38</v>
      </c>
    </row>
    <row r="131" spans="1:3" ht="24" customHeight="1">
      <c r="A131" s="1054"/>
      <c r="B131" s="1045" t="s">
        <v>1470</v>
      </c>
      <c r="C131" s="1101">
        <v>25</v>
      </c>
    </row>
    <row r="132" spans="1:3" ht="20.25" customHeight="1">
      <c r="A132" s="1054"/>
      <c r="B132" s="1045" t="s">
        <v>1471</v>
      </c>
      <c r="C132" s="1102">
        <v>15</v>
      </c>
    </row>
    <row r="133" spans="1:3" ht="22.5" customHeight="1">
      <c r="A133" s="1054"/>
      <c r="B133" s="1045" t="s">
        <v>1472</v>
      </c>
      <c r="C133" s="1101">
        <v>4094</v>
      </c>
    </row>
    <row r="134" spans="1:3" ht="21" customHeight="1">
      <c r="A134" s="1054"/>
      <c r="B134" s="1045" t="s">
        <v>1473</v>
      </c>
      <c r="C134" s="1102">
        <v>2222</v>
      </c>
    </row>
    <row r="135" spans="1:3" ht="21" customHeight="1">
      <c r="A135" s="1054"/>
      <c r="B135" s="1045" t="s">
        <v>1474</v>
      </c>
      <c r="C135" s="1101">
        <v>16</v>
      </c>
    </row>
    <row r="136" spans="1:3" ht="36" customHeight="1">
      <c r="A136" s="1054"/>
      <c r="B136" s="1045" t="s">
        <v>1475</v>
      </c>
      <c r="C136" s="1102">
        <v>28</v>
      </c>
    </row>
    <row r="137" spans="1:3" ht="36" customHeight="1">
      <c r="A137" s="1108"/>
      <c r="B137" s="1057" t="s">
        <v>1405</v>
      </c>
      <c r="C137" s="1101">
        <v>6</v>
      </c>
    </row>
    <row r="138" spans="1:3" ht="21.75" customHeight="1">
      <c r="A138" s="1025" t="s">
        <v>1468</v>
      </c>
      <c r="B138" s="1026" t="s">
        <v>1576</v>
      </c>
      <c r="C138" s="1111"/>
    </row>
    <row r="139" spans="1:3" ht="20.25" customHeight="1">
      <c r="A139" s="1106"/>
      <c r="B139" s="1029" t="s">
        <v>1469</v>
      </c>
      <c r="C139" s="1102">
        <v>4</v>
      </c>
    </row>
    <row r="140" spans="1:3" ht="20.25" customHeight="1">
      <c r="A140" s="1054"/>
      <c r="B140" s="1045" t="s">
        <v>1470</v>
      </c>
      <c r="C140" s="1101">
        <v>22</v>
      </c>
    </row>
    <row r="141" spans="1:3" ht="20.25" customHeight="1">
      <c r="A141" s="1054"/>
      <c r="B141" s="1045" t="s">
        <v>1471</v>
      </c>
      <c r="C141" s="1102">
        <v>5</v>
      </c>
    </row>
    <row r="142" spans="1:3" ht="20.25" customHeight="1">
      <c r="A142" s="1054"/>
      <c r="B142" s="1045" t="s">
        <v>1472</v>
      </c>
      <c r="C142" s="1101">
        <v>1689</v>
      </c>
    </row>
    <row r="143" spans="1:3" ht="20.25" customHeight="1">
      <c r="A143" s="1054"/>
      <c r="B143" s="1045" t="s">
        <v>1473</v>
      </c>
      <c r="C143" s="1101">
        <v>1120</v>
      </c>
    </row>
    <row r="144" spans="1:3" ht="20.25" customHeight="1">
      <c r="A144" s="1054"/>
      <c r="B144" s="1045" t="s">
        <v>1474</v>
      </c>
      <c r="C144" s="1103">
        <v>0</v>
      </c>
    </row>
    <row r="145" spans="1:3" ht="30.75" customHeight="1">
      <c r="A145" s="1054"/>
      <c r="B145" s="1045" t="s">
        <v>1475</v>
      </c>
      <c r="C145" s="1103">
        <v>70</v>
      </c>
    </row>
    <row r="146" spans="1:3" ht="34.5" customHeight="1">
      <c r="A146" s="1108"/>
      <c r="B146" s="1057" t="s">
        <v>1405</v>
      </c>
      <c r="C146" s="1103">
        <v>0</v>
      </c>
    </row>
    <row r="147" spans="1:3" ht="18" customHeight="1">
      <c r="A147" s="1025" t="s">
        <v>1476</v>
      </c>
      <c r="B147" s="1026" t="s">
        <v>1560</v>
      </c>
      <c r="C147" s="1111"/>
    </row>
    <row r="148" spans="1:3" ht="18" customHeight="1">
      <c r="A148" s="1084"/>
      <c r="B148" s="1029" t="s">
        <v>1406</v>
      </c>
      <c r="C148" s="1103">
        <v>0</v>
      </c>
    </row>
    <row r="149" spans="1:3" ht="18" customHeight="1">
      <c r="A149" s="1084"/>
      <c r="B149" s="1045" t="s">
        <v>1407</v>
      </c>
      <c r="C149" s="1103">
        <v>0</v>
      </c>
    </row>
    <row r="150" spans="1:3" ht="18" customHeight="1">
      <c r="A150" s="1084"/>
      <c r="B150" s="1045" t="s">
        <v>1408</v>
      </c>
      <c r="C150" s="1103">
        <v>0</v>
      </c>
    </row>
    <row r="151" spans="1:3" ht="18" customHeight="1">
      <c r="A151" s="1084"/>
      <c r="B151" s="1045" t="s">
        <v>1409</v>
      </c>
      <c r="C151" s="1103">
        <v>0</v>
      </c>
    </row>
    <row r="152" spans="1:3" ht="18" customHeight="1">
      <c r="A152" s="1084"/>
      <c r="B152" s="1045" t="s">
        <v>1410</v>
      </c>
      <c r="C152" s="1112">
        <v>200</v>
      </c>
    </row>
    <row r="153" spans="1:3" ht="18" customHeight="1">
      <c r="A153" s="1084"/>
      <c r="B153" s="1045" t="s">
        <v>1411</v>
      </c>
      <c r="C153" s="1103">
        <v>0</v>
      </c>
    </row>
    <row r="154" spans="1:3" ht="32.25" customHeight="1">
      <c r="A154" s="1084"/>
      <c r="B154" s="1045" t="s">
        <v>1412</v>
      </c>
      <c r="C154" s="1112">
        <v>40</v>
      </c>
    </row>
    <row r="155" spans="1:3" ht="33.75" customHeight="1">
      <c r="A155" s="1084"/>
      <c r="B155" s="1057" t="s">
        <v>1413</v>
      </c>
      <c r="C155" s="1103">
        <v>0</v>
      </c>
    </row>
    <row r="156" spans="1:3" ht="18" customHeight="1">
      <c r="A156" s="1025">
        <v>3</v>
      </c>
      <c r="B156" s="1026" t="s">
        <v>1441</v>
      </c>
      <c r="C156" s="1111"/>
    </row>
    <row r="157" spans="1:3" ht="18" customHeight="1">
      <c r="A157" s="1028"/>
      <c r="B157" s="1029" t="s">
        <v>1300</v>
      </c>
      <c r="C157" s="1349">
        <f>C158+C161</f>
        <v>182359.46600000001</v>
      </c>
    </row>
    <row r="158" spans="1:3" ht="18" customHeight="1">
      <c r="A158" s="1054"/>
      <c r="B158" s="1045" t="s">
        <v>1362</v>
      </c>
      <c r="C158" s="1113">
        <f>C159+C160</f>
        <v>147928.837</v>
      </c>
    </row>
    <row r="159" spans="1:3" ht="18" customHeight="1">
      <c r="A159" s="1054"/>
      <c r="B159" s="1114" t="s">
        <v>1575</v>
      </c>
      <c r="C159" s="1113">
        <f>'Biểu 11'!C18+'Biểu 11'!C19</f>
        <v>133135.268</v>
      </c>
    </row>
    <row r="160" spans="1:3" ht="18" customHeight="1">
      <c r="A160" s="1054"/>
      <c r="B160" s="1114" t="s">
        <v>1574</v>
      </c>
      <c r="C160" s="1113">
        <f>'Biểu 11'!C20</f>
        <v>14793.569</v>
      </c>
    </row>
    <row r="161" spans="1:3" ht="18" customHeight="1">
      <c r="A161" s="1054"/>
      <c r="B161" s="1045" t="s">
        <v>1243</v>
      </c>
      <c r="C161" s="1113">
        <f>'Biểu 11'!C21</f>
        <v>34430.629</v>
      </c>
    </row>
    <row r="162" spans="1:3" ht="18" customHeight="1">
      <c r="A162" s="1054"/>
      <c r="B162" s="1045" t="s">
        <v>1423</v>
      </c>
      <c r="C162" s="1113">
        <f>C163+C166</f>
        <v>9178.46</v>
      </c>
    </row>
    <row r="163" spans="1:3" s="787" customFormat="1" ht="18" customHeight="1">
      <c r="A163" s="1031"/>
      <c r="B163" s="1032" t="s">
        <v>1424</v>
      </c>
      <c r="C163" s="1113">
        <f>C164+C165</f>
        <v>5718.375</v>
      </c>
    </row>
    <row r="164" spans="1:3" ht="18" customHeight="1">
      <c r="A164" s="1054"/>
      <c r="B164" s="1114" t="s">
        <v>1575</v>
      </c>
      <c r="C164" s="1113">
        <f>'Biểu 11'!C24</f>
        <v>4233.375</v>
      </c>
    </row>
    <row r="165" spans="1:3" ht="18" customHeight="1">
      <c r="A165" s="1054"/>
      <c r="B165" s="1114" t="s">
        <v>1574</v>
      </c>
      <c r="C165" s="1113">
        <f>'Biểu 11'!C25</f>
        <v>1485</v>
      </c>
    </row>
    <row r="166" spans="1:3" ht="18" customHeight="1">
      <c r="A166" s="1054"/>
      <c r="B166" s="1045" t="s">
        <v>1425</v>
      </c>
      <c r="C166" s="1113">
        <f>'Biểu 11'!C26</f>
        <v>3460.085</v>
      </c>
    </row>
    <row r="167" spans="1:3" ht="18" customHeight="1">
      <c r="A167" s="1054"/>
      <c r="B167" s="1045" t="s">
        <v>1299</v>
      </c>
      <c r="C167" s="1113">
        <f>C168+C171+C174+C177+C180</f>
        <v>12360.01084</v>
      </c>
    </row>
    <row r="168" spans="1:3" s="789" customFormat="1" ht="18" customHeight="1">
      <c r="A168" s="1115"/>
      <c r="B168" s="1116" t="s">
        <v>1561</v>
      </c>
      <c r="C168" s="1113">
        <f>C169+C170</f>
        <v>4265.73</v>
      </c>
    </row>
    <row r="169" spans="1:3" ht="18" customHeight="1">
      <c r="A169" s="1054"/>
      <c r="B169" s="1114" t="s">
        <v>1575</v>
      </c>
      <c r="C169" s="1113">
        <f>'Biểu 11'!C30+'Biểu 11'!C41+'Biểu 11'!C51</f>
        <v>3379.33</v>
      </c>
    </row>
    <row r="170" spans="1:3" ht="18" customHeight="1">
      <c r="A170" s="1054"/>
      <c r="B170" s="1114" t="s">
        <v>1574</v>
      </c>
      <c r="C170" s="1113">
        <f>'Biểu 11'!C52+'Biểu 11'!C42+'Biểu 11'!C31</f>
        <v>886.4</v>
      </c>
    </row>
    <row r="171" spans="1:3" s="789" customFormat="1" ht="18" customHeight="1">
      <c r="A171" s="1115"/>
      <c r="B171" s="1116" t="s">
        <v>1562</v>
      </c>
      <c r="C171" s="1113">
        <f>C172+C173</f>
        <v>772.8</v>
      </c>
    </row>
    <row r="172" spans="1:3" ht="18" customHeight="1">
      <c r="A172" s="1054"/>
      <c r="B172" s="1114" t="s">
        <v>1575</v>
      </c>
      <c r="C172" s="1113">
        <f>'Biểu 11'!C44</f>
        <v>488.1</v>
      </c>
    </row>
    <row r="173" spans="1:3" ht="18" customHeight="1">
      <c r="A173" s="1054"/>
      <c r="B173" s="1114" t="s">
        <v>1574</v>
      </c>
      <c r="C173" s="1113">
        <f>'Biểu 11'!C45</f>
        <v>284.7</v>
      </c>
    </row>
    <row r="174" spans="1:3" s="789" customFormat="1" ht="18" customHeight="1">
      <c r="A174" s="1115"/>
      <c r="B174" s="1116" t="s">
        <v>1563</v>
      </c>
      <c r="C174" s="1113">
        <f>C175+C176</f>
        <v>4464.834000000001</v>
      </c>
    </row>
    <row r="175" spans="1:3" ht="18" customHeight="1">
      <c r="A175" s="1054"/>
      <c r="B175" s="1114" t="s">
        <v>1575</v>
      </c>
      <c r="C175" s="1113">
        <f>'Biểu 11'!C33+'Biểu 11'!C54</f>
        <v>3159.224</v>
      </c>
    </row>
    <row r="176" spans="1:3" ht="18" customHeight="1">
      <c r="A176" s="1054"/>
      <c r="B176" s="1114" t="s">
        <v>1574</v>
      </c>
      <c r="C176" s="1113">
        <f>'Biểu 11'!C34+'Biểu 11'!C55</f>
        <v>1305.6100000000001</v>
      </c>
    </row>
    <row r="177" spans="1:3" s="789" customFormat="1" ht="18" customHeight="1">
      <c r="A177" s="1115"/>
      <c r="B177" s="1116" t="s">
        <v>1564</v>
      </c>
      <c r="C177" s="1113">
        <f>C178+C179</f>
        <v>2738.64684</v>
      </c>
    </row>
    <row r="178" spans="1:3" ht="18" customHeight="1">
      <c r="A178" s="1056"/>
      <c r="B178" s="1114" t="s">
        <v>1575</v>
      </c>
      <c r="C178" s="1113">
        <f>'Biểu 11'!C36+'Biểu 11'!C47+'Biểu 11'!C57</f>
        <v>1958.54684</v>
      </c>
    </row>
    <row r="179" spans="1:3" ht="18" customHeight="1">
      <c r="A179" s="1056"/>
      <c r="B179" s="1114" t="s">
        <v>1574</v>
      </c>
      <c r="C179" s="1113">
        <f>'Biểu 11'!C58+'Biểu 11'!C48+'Biểu 11'!C37</f>
        <v>780.1</v>
      </c>
    </row>
    <row r="180" spans="1:3" ht="18" customHeight="1">
      <c r="A180" s="1056"/>
      <c r="B180" s="1116" t="s">
        <v>1565</v>
      </c>
      <c r="C180" s="1113">
        <f>'Biểu 11'!C38</f>
        <v>118</v>
      </c>
    </row>
    <row r="181" spans="1:3" ht="18" customHeight="1">
      <c r="A181" s="1025">
        <v>4</v>
      </c>
      <c r="B181" s="1117" t="s">
        <v>1559</v>
      </c>
      <c r="C181" s="1113">
        <f>C182+C192+C188</f>
        <v>46430.676</v>
      </c>
    </row>
    <row r="182" spans="1:3" ht="18" customHeight="1">
      <c r="A182" s="1042"/>
      <c r="B182" s="1029" t="s">
        <v>1340</v>
      </c>
      <c r="C182" s="1113">
        <f>C183+C186</f>
        <v>43715.866</v>
      </c>
    </row>
    <row r="183" spans="1:3" ht="18" customHeight="1">
      <c r="A183" s="1044"/>
      <c r="B183" s="1045" t="s">
        <v>1341</v>
      </c>
      <c r="C183" s="1113">
        <f>C184+C185</f>
        <v>32235.205</v>
      </c>
    </row>
    <row r="184" spans="1:3" ht="18" customHeight="1">
      <c r="A184" s="1044"/>
      <c r="B184" s="1114" t="s">
        <v>1575</v>
      </c>
      <c r="C184" s="1113">
        <f>'Biểu 11'!I18+'Biểu 11'!I19</f>
        <v>29988</v>
      </c>
    </row>
    <row r="185" spans="1:3" ht="18" customHeight="1">
      <c r="A185" s="1044"/>
      <c r="B185" s="1114" t="s">
        <v>1574</v>
      </c>
      <c r="C185" s="1113">
        <f>'Biểu 11'!I20</f>
        <v>2247.205</v>
      </c>
    </row>
    <row r="186" spans="1:3" ht="18" customHeight="1">
      <c r="A186" s="1044"/>
      <c r="B186" s="1045" t="s">
        <v>1342</v>
      </c>
      <c r="C186" s="1113">
        <f>'Biểu 11'!I21</f>
        <v>11480.661</v>
      </c>
    </row>
    <row r="187" spans="1:3" ht="18" customHeight="1">
      <c r="A187" s="1044"/>
      <c r="B187" s="1045" t="s">
        <v>1416</v>
      </c>
      <c r="C187" s="1113">
        <f>C188+C191</f>
        <v>1260</v>
      </c>
    </row>
    <row r="188" spans="1:3" s="787" customFormat="1" ht="18" customHeight="1">
      <c r="A188" s="1043"/>
      <c r="B188" s="1032" t="s">
        <v>1414</v>
      </c>
      <c r="C188" s="1113">
        <f>C189+C190</f>
        <v>1260</v>
      </c>
    </row>
    <row r="189" spans="1:3" ht="18" customHeight="1">
      <c r="A189" s="1044"/>
      <c r="B189" s="1114" t="s">
        <v>1575</v>
      </c>
      <c r="C189" s="1113">
        <v>0</v>
      </c>
    </row>
    <row r="190" spans="1:3" ht="18" customHeight="1">
      <c r="A190" s="1044"/>
      <c r="B190" s="1114" t="s">
        <v>1574</v>
      </c>
      <c r="C190" s="1118">
        <v>1260</v>
      </c>
    </row>
    <row r="191" spans="1:3" ht="18" customHeight="1">
      <c r="A191" s="1044"/>
      <c r="B191" s="1045" t="s">
        <v>1415</v>
      </c>
      <c r="C191" s="1113">
        <v>0</v>
      </c>
    </row>
    <row r="192" spans="1:3" ht="18" customHeight="1">
      <c r="A192" s="1044"/>
      <c r="B192" s="1045" t="s">
        <v>1356</v>
      </c>
      <c r="C192" s="1113">
        <f>C195+C198+C201+C204+C205</f>
        <v>1454.81</v>
      </c>
    </row>
    <row r="193" spans="1:3" s="787" customFormat="1" ht="18" customHeight="1">
      <c r="A193" s="1043"/>
      <c r="B193" s="1116" t="s">
        <v>1561</v>
      </c>
      <c r="C193" s="1113"/>
    </row>
    <row r="194" spans="1:3" ht="18" customHeight="1">
      <c r="A194" s="1044"/>
      <c r="B194" s="1114" t="s">
        <v>1575</v>
      </c>
      <c r="C194" s="1113">
        <v>0</v>
      </c>
    </row>
    <row r="195" spans="1:3" ht="18" customHeight="1">
      <c r="A195" s="1044"/>
      <c r="B195" s="1114" t="s">
        <v>1574</v>
      </c>
      <c r="C195" s="1113">
        <f>'Biểu 11'!I52+'Biểu 11'!I42+'Biểu 11'!I31</f>
        <v>406.4</v>
      </c>
    </row>
    <row r="196" spans="1:3" s="787" customFormat="1" ht="18" customHeight="1">
      <c r="A196" s="1031"/>
      <c r="B196" s="1116" t="s">
        <v>1562</v>
      </c>
      <c r="C196" s="1113"/>
    </row>
    <row r="197" spans="1:3" ht="18" customHeight="1">
      <c r="A197" s="1054"/>
      <c r="B197" s="1114" t="s">
        <v>1575</v>
      </c>
      <c r="C197" s="1113">
        <v>0</v>
      </c>
    </row>
    <row r="198" spans="1:3" ht="18" customHeight="1">
      <c r="A198" s="1054"/>
      <c r="B198" s="1114" t="s">
        <v>1574</v>
      </c>
      <c r="C198" s="1113">
        <f>'Biểu 11'!I45</f>
        <v>134.7</v>
      </c>
    </row>
    <row r="199" spans="1:3" s="787" customFormat="1" ht="18" customHeight="1">
      <c r="A199" s="1031"/>
      <c r="B199" s="1116" t="s">
        <v>1563</v>
      </c>
      <c r="C199" s="1113"/>
    </row>
    <row r="200" spans="1:3" ht="18" customHeight="1">
      <c r="A200" s="1054"/>
      <c r="B200" s="1114" t="s">
        <v>1575</v>
      </c>
      <c r="C200" s="1113">
        <v>0</v>
      </c>
    </row>
    <row r="201" spans="1:3" ht="18" customHeight="1">
      <c r="A201" s="1054"/>
      <c r="B201" s="1114" t="s">
        <v>1574</v>
      </c>
      <c r="C201" s="1113">
        <f>'Biểu 11'!I55+'Biểu 11'!I34</f>
        <v>500.61</v>
      </c>
    </row>
    <row r="202" spans="1:3" s="787" customFormat="1" ht="18" customHeight="1">
      <c r="A202" s="1031"/>
      <c r="B202" s="1116" t="s">
        <v>1564</v>
      </c>
      <c r="C202" s="1113"/>
    </row>
    <row r="203" spans="1:3" ht="18" customHeight="1">
      <c r="A203" s="1054"/>
      <c r="B203" s="1114" t="s">
        <v>1575</v>
      </c>
      <c r="C203" s="1113">
        <v>0</v>
      </c>
    </row>
    <row r="204" spans="1:3" ht="18" customHeight="1">
      <c r="A204" s="1054"/>
      <c r="B204" s="1114" t="s">
        <v>1574</v>
      </c>
      <c r="C204" s="1113">
        <f>'Biểu 11'!I37+'Biểu 11'!I48+'Biểu 11'!I58</f>
        <v>295.1</v>
      </c>
    </row>
    <row r="205" spans="1:3" ht="18" customHeight="1">
      <c r="A205" s="1108"/>
      <c r="B205" s="1119" t="s">
        <v>1565</v>
      </c>
      <c r="C205" s="1113">
        <f>'Biểu 11'!I38</f>
        <v>118</v>
      </c>
    </row>
    <row r="206" spans="1:3" ht="18" customHeight="1">
      <c r="A206" s="626"/>
      <c r="B206" s="723"/>
      <c r="C206" s="627"/>
    </row>
    <row r="207" ht="15.75">
      <c r="A207" s="724"/>
    </row>
    <row r="208" spans="1:3" ht="33.75" customHeight="1">
      <c r="A208" s="1462"/>
      <c r="B208" s="1462"/>
      <c r="C208" s="1462"/>
    </row>
    <row r="209" spans="1:3" s="496" customFormat="1" ht="15.75">
      <c r="A209" s="725"/>
      <c r="B209" s="656"/>
      <c r="C209" s="726"/>
    </row>
  </sheetData>
  <sheetProtection/>
  <mergeCells count="5">
    <mergeCell ref="A87:A88"/>
    <mergeCell ref="B87:B88"/>
    <mergeCell ref="C87:C88"/>
    <mergeCell ref="A208:C208"/>
    <mergeCell ref="A1:C1"/>
  </mergeCells>
  <printOptions horizontalCentered="1"/>
  <pageMargins left="0.5905511811023623" right="0.3937007874015748" top="0.4330708661417323" bottom="0.3937007874015748"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124"/>
  <sheetViews>
    <sheetView zoomScalePageLayoutView="0" workbookViewId="0" topLeftCell="A1">
      <pane xSplit="2" ySplit="6" topLeftCell="C118" activePane="bottomRight" state="frozen"/>
      <selection pane="topLeft" activeCell="A1" sqref="A1"/>
      <selection pane="topRight" activeCell="C1" sqref="C1"/>
      <selection pane="bottomLeft" activeCell="A7" sqref="A7"/>
      <selection pane="bottomRight" activeCell="T119" sqref="T119"/>
    </sheetView>
  </sheetViews>
  <sheetFormatPr defaultColWidth="8.796875" defaultRowHeight="15"/>
  <cols>
    <col min="1" max="1" width="4.69921875" style="746" customWidth="1"/>
    <col min="2" max="2" width="14.59765625" style="619" customWidth="1"/>
    <col min="3" max="10" width="7.59765625" style="619" customWidth="1"/>
    <col min="11" max="11" width="6.5" style="619" customWidth="1"/>
    <col min="12" max="12" width="6.3984375" style="619" customWidth="1"/>
    <col min="13" max="13" width="7" style="619" customWidth="1"/>
    <col min="14" max="17" width="6.69921875" style="619" customWidth="1"/>
    <col min="18" max="16384" width="9" style="619" customWidth="1"/>
  </cols>
  <sheetData>
    <row r="1" spans="1:17" s="622" customFormat="1" ht="23.25" customHeight="1">
      <c r="A1" s="1464" t="s">
        <v>1587</v>
      </c>
      <c r="B1" s="1464"/>
      <c r="C1" s="1464"/>
      <c r="D1" s="1464"/>
      <c r="E1" s="1464"/>
      <c r="F1" s="1464"/>
      <c r="G1" s="1464"/>
      <c r="H1" s="1464"/>
      <c r="I1" s="1464"/>
      <c r="J1" s="1464"/>
      <c r="K1" s="1464"/>
      <c r="L1" s="1464"/>
      <c r="M1" s="1464"/>
      <c r="N1" s="1464"/>
      <c r="O1" s="1464"/>
      <c r="P1" s="1464"/>
      <c r="Q1" s="1464"/>
    </row>
    <row r="2" spans="1:17" s="738" customFormat="1" ht="18.75" customHeight="1">
      <c r="A2" s="1465" t="s">
        <v>2315</v>
      </c>
      <c r="B2" s="1465"/>
      <c r="C2" s="1465"/>
      <c r="D2" s="1465"/>
      <c r="E2" s="1465"/>
      <c r="F2" s="1465"/>
      <c r="G2" s="1465"/>
      <c r="H2" s="1465"/>
      <c r="I2" s="1465"/>
      <c r="J2" s="1465"/>
      <c r="K2" s="1465"/>
      <c r="L2" s="1465"/>
      <c r="M2" s="1465"/>
      <c r="N2" s="1465"/>
      <c r="O2" s="1465"/>
      <c r="P2" s="1465"/>
      <c r="Q2" s="1465"/>
    </row>
    <row r="3" spans="2:3" ht="12.75" customHeight="1">
      <c r="B3" s="623"/>
      <c r="C3" s="624"/>
    </row>
    <row r="4" spans="1:18" s="734" customFormat="1" ht="21.75" customHeight="1">
      <c r="A4" s="1466" t="s">
        <v>488</v>
      </c>
      <c r="B4" s="1466" t="s">
        <v>1202</v>
      </c>
      <c r="C4" s="1466" t="s">
        <v>1203</v>
      </c>
      <c r="D4" s="1472" t="s">
        <v>2312</v>
      </c>
      <c r="E4" s="1475" t="s">
        <v>1204</v>
      </c>
      <c r="F4" s="1476"/>
      <c r="G4" s="1476"/>
      <c r="H4" s="1477"/>
      <c r="I4" s="1478" t="s">
        <v>1205</v>
      </c>
      <c r="J4" s="1479"/>
      <c r="K4" s="1479"/>
      <c r="L4" s="1479"/>
      <c r="M4" s="1479"/>
      <c r="N4" s="1479"/>
      <c r="O4" s="1479"/>
      <c r="P4" s="1479"/>
      <c r="Q4" s="1480"/>
      <c r="R4" s="733"/>
    </row>
    <row r="5" spans="1:18" s="734" customFormat="1" ht="22.5" customHeight="1">
      <c r="A5" s="1467"/>
      <c r="B5" s="1469"/>
      <c r="C5" s="1467"/>
      <c r="D5" s="1473"/>
      <c r="E5" s="1466" t="s">
        <v>1206</v>
      </c>
      <c r="F5" s="1466" t="s">
        <v>1207</v>
      </c>
      <c r="G5" s="1466" t="s">
        <v>1208</v>
      </c>
      <c r="H5" s="1466" t="s">
        <v>1209</v>
      </c>
      <c r="I5" s="1481" t="s">
        <v>1210</v>
      </c>
      <c r="J5" s="1482"/>
      <c r="K5" s="1481" t="s">
        <v>1211</v>
      </c>
      <c r="L5" s="1482"/>
      <c r="M5" s="1481" t="s">
        <v>1212</v>
      </c>
      <c r="N5" s="1482"/>
      <c r="O5" s="1481" t="s">
        <v>1213</v>
      </c>
      <c r="P5" s="1482"/>
      <c r="Q5" s="650" t="s">
        <v>655</v>
      </c>
      <c r="R5" s="733"/>
    </row>
    <row r="6" spans="1:18" s="734" customFormat="1" ht="45" customHeight="1">
      <c r="A6" s="1468"/>
      <c r="B6" s="1470"/>
      <c r="C6" s="1471"/>
      <c r="D6" s="1474"/>
      <c r="E6" s="1471"/>
      <c r="F6" s="1471"/>
      <c r="G6" s="1471"/>
      <c r="H6" s="1471"/>
      <c r="I6" s="650" t="s">
        <v>728</v>
      </c>
      <c r="J6" s="650" t="s">
        <v>1214</v>
      </c>
      <c r="K6" s="650" t="s">
        <v>728</v>
      </c>
      <c r="L6" s="650" t="s">
        <v>1214</v>
      </c>
      <c r="M6" s="650" t="s">
        <v>728</v>
      </c>
      <c r="N6" s="650" t="s">
        <v>1214</v>
      </c>
      <c r="O6" s="650" t="s">
        <v>728</v>
      </c>
      <c r="P6" s="650" t="s">
        <v>1214</v>
      </c>
      <c r="Q6" s="650" t="s">
        <v>728</v>
      </c>
      <c r="R6" s="733"/>
    </row>
    <row r="7" spans="1:18" ht="14.25" customHeight="1">
      <c r="A7" s="742">
        <v>1</v>
      </c>
      <c r="B7" s="743">
        <v>2</v>
      </c>
      <c r="C7" s="742">
        <v>3</v>
      </c>
      <c r="D7" s="742">
        <v>4</v>
      </c>
      <c r="E7" s="742">
        <v>5</v>
      </c>
      <c r="F7" s="742">
        <v>6</v>
      </c>
      <c r="G7" s="742">
        <v>7</v>
      </c>
      <c r="H7" s="742">
        <v>8</v>
      </c>
      <c r="I7" s="742">
        <v>9</v>
      </c>
      <c r="J7" s="742">
        <v>10</v>
      </c>
      <c r="K7" s="742">
        <v>11</v>
      </c>
      <c r="L7" s="742">
        <v>12</v>
      </c>
      <c r="M7" s="742">
        <v>13</v>
      </c>
      <c r="N7" s="742">
        <v>14</v>
      </c>
      <c r="O7" s="742">
        <v>15</v>
      </c>
      <c r="P7" s="742">
        <v>16</v>
      </c>
      <c r="Q7" s="742">
        <v>17</v>
      </c>
      <c r="R7" s="621"/>
    </row>
    <row r="8" spans="1:19" ht="19.5" customHeight="1">
      <c r="A8" s="1120" t="s">
        <v>486</v>
      </c>
      <c r="B8" s="1121" t="s">
        <v>1593</v>
      </c>
      <c r="C8" s="1122"/>
      <c r="D8" s="1122"/>
      <c r="E8" s="1122"/>
      <c r="F8" s="1122"/>
      <c r="G8" s="1122"/>
      <c r="H8" s="1122"/>
      <c r="I8" s="1122"/>
      <c r="J8" s="1122"/>
      <c r="K8" s="1122"/>
      <c r="L8" s="1122"/>
      <c r="M8" s="1122"/>
      <c r="N8" s="1122"/>
      <c r="O8" s="1122"/>
      <c r="P8" s="1122"/>
      <c r="Q8" s="1122"/>
      <c r="R8" s="625"/>
      <c r="S8" s="621"/>
    </row>
    <row r="9" spans="1:19" ht="19.5" customHeight="1">
      <c r="A9" s="1123">
        <v>1</v>
      </c>
      <c r="B9" s="1124" t="s">
        <v>1594</v>
      </c>
      <c r="C9" s="1124">
        <v>581</v>
      </c>
      <c r="D9" s="1124">
        <v>230</v>
      </c>
      <c r="E9" s="1125">
        <v>164</v>
      </c>
      <c r="F9" s="1126">
        <v>28.227194492254732</v>
      </c>
      <c r="G9" s="1125">
        <v>164</v>
      </c>
      <c r="H9" s="1126">
        <v>28.227194492254732</v>
      </c>
      <c r="I9" s="1124">
        <v>56</v>
      </c>
      <c r="J9" s="1124">
        <v>56</v>
      </c>
      <c r="K9" s="1124">
        <v>56</v>
      </c>
      <c r="L9" s="1124">
        <v>56</v>
      </c>
      <c r="M9" s="1124">
        <v>87</v>
      </c>
      <c r="N9" s="1124">
        <v>47</v>
      </c>
      <c r="O9" s="1124">
        <v>95</v>
      </c>
      <c r="P9" s="1124">
        <v>5</v>
      </c>
      <c r="Q9" s="1124">
        <v>287</v>
      </c>
      <c r="R9" s="625"/>
      <c r="S9" s="621"/>
    </row>
    <row r="10" spans="1:19" ht="19.5" customHeight="1">
      <c r="A10" s="1123">
        <v>2</v>
      </c>
      <c r="B10" s="1124" t="s">
        <v>1595</v>
      </c>
      <c r="C10" s="1124">
        <v>436</v>
      </c>
      <c r="D10" s="1124">
        <v>240</v>
      </c>
      <c r="E10" s="1125">
        <v>104</v>
      </c>
      <c r="F10" s="1126">
        <v>23.853211009174313</v>
      </c>
      <c r="G10" s="1125">
        <v>104</v>
      </c>
      <c r="H10" s="1126">
        <v>100</v>
      </c>
      <c r="I10" s="1124">
        <v>31</v>
      </c>
      <c r="J10" s="1124">
        <v>31</v>
      </c>
      <c r="K10" s="1124">
        <v>8</v>
      </c>
      <c r="L10" s="1124">
        <v>8</v>
      </c>
      <c r="M10" s="1124">
        <v>67</v>
      </c>
      <c r="N10" s="1124">
        <v>57</v>
      </c>
      <c r="O10" s="1124">
        <v>103</v>
      </c>
      <c r="P10" s="1124">
        <v>8</v>
      </c>
      <c r="Q10" s="1124">
        <v>227</v>
      </c>
      <c r="R10" s="625"/>
      <c r="S10" s="621"/>
    </row>
    <row r="11" spans="1:19" ht="19.5" customHeight="1">
      <c r="A11" s="1123">
        <v>3</v>
      </c>
      <c r="B11" s="1124" t="s">
        <v>1596</v>
      </c>
      <c r="C11" s="1124">
        <v>674</v>
      </c>
      <c r="D11" s="1124">
        <v>410</v>
      </c>
      <c r="E11" s="1125">
        <v>392</v>
      </c>
      <c r="F11" s="1126">
        <v>63.63636363636363</v>
      </c>
      <c r="G11" s="1125">
        <v>392</v>
      </c>
      <c r="H11" s="1126">
        <v>63.63636363636363</v>
      </c>
      <c r="I11" s="1124">
        <v>161</v>
      </c>
      <c r="J11" s="1124">
        <v>161</v>
      </c>
      <c r="K11" s="1124">
        <v>41</v>
      </c>
      <c r="L11" s="1124">
        <v>38</v>
      </c>
      <c r="M11" s="1124">
        <v>46</v>
      </c>
      <c r="N11" s="1124">
        <v>32</v>
      </c>
      <c r="O11" s="1124">
        <v>54</v>
      </c>
      <c r="P11" s="1124">
        <v>41</v>
      </c>
      <c r="Q11" s="1124">
        <v>372</v>
      </c>
      <c r="R11" s="625"/>
      <c r="S11" s="621"/>
    </row>
    <row r="12" spans="1:19" ht="19.5" customHeight="1">
      <c r="A12" s="1123">
        <v>4</v>
      </c>
      <c r="B12" s="1124" t="s">
        <v>1597</v>
      </c>
      <c r="C12" s="1124">
        <v>362</v>
      </c>
      <c r="D12" s="1124">
        <v>291</v>
      </c>
      <c r="E12" s="1125">
        <v>281</v>
      </c>
      <c r="F12" s="1126">
        <v>77.62430939226519</v>
      </c>
      <c r="G12" s="1125">
        <v>281</v>
      </c>
      <c r="H12" s="1126">
        <v>100</v>
      </c>
      <c r="I12" s="1124">
        <v>14</v>
      </c>
      <c r="J12" s="1124">
        <v>14</v>
      </c>
      <c r="K12" s="1124">
        <v>2</v>
      </c>
      <c r="L12" s="1124">
        <v>2</v>
      </c>
      <c r="M12" s="1124">
        <v>302</v>
      </c>
      <c r="N12" s="1124">
        <v>265</v>
      </c>
      <c r="O12" s="1124">
        <v>0</v>
      </c>
      <c r="P12" s="1124">
        <v>0</v>
      </c>
      <c r="Q12" s="1124">
        <v>44</v>
      </c>
      <c r="R12" s="625"/>
      <c r="S12" s="621"/>
    </row>
    <row r="13" spans="1:19" ht="19.5" customHeight="1">
      <c r="A13" s="1123">
        <v>5</v>
      </c>
      <c r="B13" s="1124" t="s">
        <v>1598</v>
      </c>
      <c r="C13" s="1124">
        <v>871</v>
      </c>
      <c r="D13" s="1124">
        <v>560</v>
      </c>
      <c r="E13" s="1125">
        <v>536</v>
      </c>
      <c r="F13" s="1126">
        <v>61.53846153846154</v>
      </c>
      <c r="G13" s="1125">
        <v>536</v>
      </c>
      <c r="H13" s="1126">
        <v>61.53846153846154</v>
      </c>
      <c r="I13" s="1124">
        <v>245</v>
      </c>
      <c r="J13" s="1124">
        <v>245</v>
      </c>
      <c r="K13" s="1124">
        <v>119</v>
      </c>
      <c r="L13" s="1124">
        <v>115</v>
      </c>
      <c r="M13" s="1124">
        <v>127</v>
      </c>
      <c r="N13" s="1124">
        <v>98</v>
      </c>
      <c r="O13" s="1124">
        <v>156</v>
      </c>
      <c r="P13" s="1124">
        <v>78</v>
      </c>
      <c r="Q13" s="1124">
        <v>224</v>
      </c>
      <c r="R13" s="625"/>
      <c r="S13" s="621"/>
    </row>
    <row r="14" spans="1:19" ht="19.5" customHeight="1">
      <c r="A14" s="1123">
        <v>6</v>
      </c>
      <c r="B14" s="1124" t="s">
        <v>1599</v>
      </c>
      <c r="C14" s="1124">
        <v>740</v>
      </c>
      <c r="D14" s="1124">
        <v>418</v>
      </c>
      <c r="E14" s="1125">
        <v>385</v>
      </c>
      <c r="F14" s="1126">
        <v>52.027027027027025</v>
      </c>
      <c r="G14" s="1125">
        <v>385</v>
      </c>
      <c r="H14" s="1126">
        <v>52.027027027027025</v>
      </c>
      <c r="I14" s="1124">
        <v>71</v>
      </c>
      <c r="J14" s="1124">
        <v>71</v>
      </c>
      <c r="K14" s="1124">
        <v>14</v>
      </c>
      <c r="L14" s="1124">
        <v>14</v>
      </c>
      <c r="M14" s="1124">
        <v>137</v>
      </c>
      <c r="N14" s="1124">
        <v>137</v>
      </c>
      <c r="O14" s="1124">
        <v>87</v>
      </c>
      <c r="P14" s="1124">
        <v>63</v>
      </c>
      <c r="Q14" s="1124">
        <v>431</v>
      </c>
      <c r="S14" s="621"/>
    </row>
    <row r="15" spans="1:19" ht="19.5" customHeight="1">
      <c r="A15" s="1127">
        <v>7</v>
      </c>
      <c r="B15" s="1128" t="s">
        <v>1708</v>
      </c>
      <c r="C15" s="1128">
        <v>549</v>
      </c>
      <c r="D15" s="1128">
        <v>382</v>
      </c>
      <c r="E15" s="1129">
        <v>201</v>
      </c>
      <c r="F15" s="1130">
        <v>36.612021857923494</v>
      </c>
      <c r="G15" s="1125">
        <v>201</v>
      </c>
      <c r="H15" s="1130">
        <v>36.612021857923494</v>
      </c>
      <c r="I15" s="1128">
        <v>98</v>
      </c>
      <c r="J15" s="1128">
        <v>98</v>
      </c>
      <c r="K15" s="1128">
        <v>22</v>
      </c>
      <c r="L15" s="1128">
        <v>22</v>
      </c>
      <c r="M15" s="1128">
        <v>135</v>
      </c>
      <c r="N15" s="1128">
        <v>74</v>
      </c>
      <c r="O15" s="1128">
        <v>13</v>
      </c>
      <c r="P15" s="1128">
        <v>7</v>
      </c>
      <c r="Q15" s="1128">
        <v>281</v>
      </c>
      <c r="S15" s="621"/>
    </row>
    <row r="16" spans="1:19" ht="19.5" customHeight="1">
      <c r="A16" s="1123">
        <v>8</v>
      </c>
      <c r="B16" s="1124" t="s">
        <v>1709</v>
      </c>
      <c r="C16" s="1124">
        <v>974</v>
      </c>
      <c r="D16" s="1124">
        <v>668</v>
      </c>
      <c r="E16" s="1125">
        <v>581</v>
      </c>
      <c r="F16" s="1126">
        <v>70</v>
      </c>
      <c r="G16" s="1125">
        <v>581</v>
      </c>
      <c r="H16" s="1126">
        <v>70</v>
      </c>
      <c r="I16" s="1124">
        <v>87</v>
      </c>
      <c r="J16" s="1124">
        <v>87</v>
      </c>
      <c r="K16" s="1124">
        <v>15</v>
      </c>
      <c r="L16" s="1124">
        <v>15</v>
      </c>
      <c r="M16" s="1124">
        <v>481</v>
      </c>
      <c r="N16" s="1124">
        <v>397</v>
      </c>
      <c r="O16" s="1124">
        <v>83</v>
      </c>
      <c r="P16" s="1124">
        <v>83</v>
      </c>
      <c r="Q16" s="1124">
        <v>308</v>
      </c>
      <c r="S16" s="621"/>
    </row>
    <row r="17" spans="1:19" ht="19.5" customHeight="1">
      <c r="A17" s="1127">
        <v>9</v>
      </c>
      <c r="B17" s="1128" t="s">
        <v>1601</v>
      </c>
      <c r="C17" s="1128">
        <v>1627</v>
      </c>
      <c r="D17" s="1128">
        <v>871</v>
      </c>
      <c r="E17" s="1129">
        <v>698</v>
      </c>
      <c r="F17" s="1130">
        <v>42.90104486785495</v>
      </c>
      <c r="G17" s="1125">
        <v>698</v>
      </c>
      <c r="H17" s="1130">
        <v>42.90104486785495</v>
      </c>
      <c r="I17" s="1128">
        <v>307</v>
      </c>
      <c r="J17" s="1128">
        <v>307</v>
      </c>
      <c r="K17" s="1128">
        <v>151</v>
      </c>
      <c r="L17" s="1128">
        <v>148</v>
      </c>
      <c r="M17" s="1128">
        <v>207</v>
      </c>
      <c r="N17" s="1128">
        <v>189</v>
      </c>
      <c r="O17" s="1128">
        <v>155</v>
      </c>
      <c r="P17" s="1128">
        <v>54</v>
      </c>
      <c r="Q17" s="1128">
        <v>807</v>
      </c>
      <c r="S17" s="621"/>
    </row>
    <row r="18" spans="1:19" ht="19.5" customHeight="1">
      <c r="A18" s="1127">
        <v>10</v>
      </c>
      <c r="B18" s="1128" t="s">
        <v>1602</v>
      </c>
      <c r="C18" s="1128">
        <v>322</v>
      </c>
      <c r="D18" s="1128">
        <v>176</v>
      </c>
      <c r="E18" s="1129">
        <v>173</v>
      </c>
      <c r="F18" s="1130">
        <v>53.72670807453416</v>
      </c>
      <c r="G18" s="1125">
        <v>173</v>
      </c>
      <c r="H18" s="1130">
        <v>53.72670807453416</v>
      </c>
      <c r="I18" s="1128">
        <v>4</v>
      </c>
      <c r="J18" s="1128">
        <v>4</v>
      </c>
      <c r="K18" s="1128">
        <v>6</v>
      </c>
      <c r="L18" s="1128">
        <v>6</v>
      </c>
      <c r="M18" s="1128">
        <v>171</v>
      </c>
      <c r="N18" s="1128">
        <v>159</v>
      </c>
      <c r="O18" s="1128">
        <v>4</v>
      </c>
      <c r="P18" s="1128">
        <v>4</v>
      </c>
      <c r="Q18" s="1128">
        <v>137</v>
      </c>
      <c r="S18" s="621"/>
    </row>
    <row r="19" spans="1:19" ht="19.5" customHeight="1">
      <c r="A19" s="1120" t="s">
        <v>484</v>
      </c>
      <c r="B19" s="1122" t="s">
        <v>1603</v>
      </c>
      <c r="C19" s="1122"/>
      <c r="D19" s="1122"/>
      <c r="E19" s="1122"/>
      <c r="F19" s="1131"/>
      <c r="G19" s="1122"/>
      <c r="H19" s="1131"/>
      <c r="I19" s="1122"/>
      <c r="J19" s="1122"/>
      <c r="K19" s="1122"/>
      <c r="L19" s="1122"/>
      <c r="M19" s="1122"/>
      <c r="N19" s="1122"/>
      <c r="O19" s="1122"/>
      <c r="P19" s="1122"/>
      <c r="Q19" s="1122"/>
      <c r="S19" s="621"/>
    </row>
    <row r="20" spans="1:19" ht="19.5" customHeight="1">
      <c r="A20" s="1127">
        <v>1</v>
      </c>
      <c r="B20" s="1128" t="s">
        <v>1604</v>
      </c>
      <c r="C20" s="1128">
        <v>464</v>
      </c>
      <c r="D20" s="1128">
        <v>350</v>
      </c>
      <c r="E20" s="1129">
        <v>250</v>
      </c>
      <c r="F20" s="1130">
        <v>53.87931034482759</v>
      </c>
      <c r="G20" s="1129">
        <v>250</v>
      </c>
      <c r="H20" s="1130">
        <v>53.87931034482759</v>
      </c>
      <c r="I20" s="1128">
        <v>172</v>
      </c>
      <c r="J20" s="1128">
        <v>172</v>
      </c>
      <c r="K20" s="1128">
        <v>14</v>
      </c>
      <c r="L20" s="1128">
        <v>14</v>
      </c>
      <c r="M20" s="1128">
        <v>74</v>
      </c>
      <c r="N20" s="1128">
        <v>54</v>
      </c>
      <c r="O20" s="1128">
        <v>3</v>
      </c>
      <c r="P20" s="1128">
        <v>0</v>
      </c>
      <c r="Q20" s="1128">
        <v>201</v>
      </c>
      <c r="S20" s="621"/>
    </row>
    <row r="21" spans="1:19" ht="19.5" customHeight="1">
      <c r="A21" s="1127">
        <v>2</v>
      </c>
      <c r="B21" s="1128" t="s">
        <v>1605</v>
      </c>
      <c r="C21" s="1128">
        <v>802</v>
      </c>
      <c r="D21" s="1128">
        <v>613</v>
      </c>
      <c r="E21" s="1129">
        <v>558</v>
      </c>
      <c r="F21" s="1130">
        <v>69.57605985037407</v>
      </c>
      <c r="G21" s="1129">
        <v>558</v>
      </c>
      <c r="H21" s="1130">
        <v>76.4</v>
      </c>
      <c r="I21" s="1128">
        <v>140</v>
      </c>
      <c r="J21" s="1128">
        <v>140</v>
      </c>
      <c r="K21" s="1128">
        <v>10</v>
      </c>
      <c r="L21" s="1128">
        <v>10</v>
      </c>
      <c r="M21" s="1128">
        <v>233</v>
      </c>
      <c r="N21" s="1128">
        <v>198</v>
      </c>
      <c r="O21" s="1128">
        <v>277</v>
      </c>
      <c r="P21" s="1128">
        <v>210</v>
      </c>
      <c r="Q21" s="1128">
        <v>142</v>
      </c>
      <c r="S21" s="621"/>
    </row>
    <row r="22" spans="1:19" ht="19.5" customHeight="1">
      <c r="A22" s="1127">
        <v>3</v>
      </c>
      <c r="B22" s="1128" t="s">
        <v>1606</v>
      </c>
      <c r="C22" s="1128">
        <v>680</v>
      </c>
      <c r="D22" s="1128">
        <v>428</v>
      </c>
      <c r="E22" s="1129">
        <v>357</v>
      </c>
      <c r="F22" s="1130">
        <v>52.5</v>
      </c>
      <c r="G22" s="1129">
        <v>357</v>
      </c>
      <c r="H22" s="1130">
        <v>52.5</v>
      </c>
      <c r="I22" s="1128">
        <v>100</v>
      </c>
      <c r="J22" s="1128">
        <v>100</v>
      </c>
      <c r="K22" s="1128">
        <v>33</v>
      </c>
      <c r="L22" s="1128">
        <v>33</v>
      </c>
      <c r="M22" s="1128">
        <v>165</v>
      </c>
      <c r="N22" s="1128">
        <v>165</v>
      </c>
      <c r="O22" s="1128">
        <v>59</v>
      </c>
      <c r="P22" s="1128">
        <v>59</v>
      </c>
      <c r="Q22" s="1128">
        <v>323</v>
      </c>
      <c r="S22" s="621"/>
    </row>
    <row r="23" spans="1:19" ht="19.5" customHeight="1">
      <c r="A23" s="1127">
        <v>4</v>
      </c>
      <c r="B23" s="1128" t="s">
        <v>1607</v>
      </c>
      <c r="C23" s="1128">
        <v>807</v>
      </c>
      <c r="D23" s="1129">
        <v>439</v>
      </c>
      <c r="E23" s="1129">
        <v>339</v>
      </c>
      <c r="F23" s="1130">
        <v>42.00743494423792</v>
      </c>
      <c r="G23" s="1129">
        <v>339</v>
      </c>
      <c r="H23" s="1130">
        <v>42.00743494423792</v>
      </c>
      <c r="I23" s="1128">
        <v>118</v>
      </c>
      <c r="J23" s="1128">
        <v>118</v>
      </c>
      <c r="K23" s="1128">
        <v>4</v>
      </c>
      <c r="L23" s="1128">
        <v>4</v>
      </c>
      <c r="M23" s="1128">
        <v>312</v>
      </c>
      <c r="N23" s="1128">
        <v>201</v>
      </c>
      <c r="O23" s="1128">
        <v>16</v>
      </c>
      <c r="P23" s="1128">
        <v>16</v>
      </c>
      <c r="Q23" s="1128">
        <v>357</v>
      </c>
      <c r="S23" s="621"/>
    </row>
    <row r="24" spans="1:19" ht="19.5" customHeight="1">
      <c r="A24" s="1127">
        <v>5</v>
      </c>
      <c r="B24" s="1128" t="s">
        <v>1608</v>
      </c>
      <c r="C24" s="1128">
        <v>983</v>
      </c>
      <c r="D24" s="1128">
        <v>881</v>
      </c>
      <c r="E24" s="1129">
        <v>846</v>
      </c>
      <c r="F24" s="1130">
        <v>86.06307222787386</v>
      </c>
      <c r="G24" s="1129">
        <v>846</v>
      </c>
      <c r="H24" s="1130">
        <v>86.06307222787386</v>
      </c>
      <c r="I24" s="1128">
        <v>687</v>
      </c>
      <c r="J24" s="1128">
        <v>682</v>
      </c>
      <c r="K24" s="1128">
        <v>75</v>
      </c>
      <c r="L24" s="1128">
        <v>49</v>
      </c>
      <c r="M24" s="1128">
        <v>104</v>
      </c>
      <c r="N24" s="1128">
        <v>92</v>
      </c>
      <c r="O24" s="1128">
        <v>10</v>
      </c>
      <c r="P24" s="1128">
        <v>10</v>
      </c>
      <c r="Q24" s="1128">
        <v>107</v>
      </c>
      <c r="S24" s="621"/>
    </row>
    <row r="25" spans="1:19" ht="19.5" customHeight="1">
      <c r="A25" s="1127">
        <v>6</v>
      </c>
      <c r="B25" s="1128" t="s">
        <v>1609</v>
      </c>
      <c r="C25" s="1128">
        <v>776</v>
      </c>
      <c r="D25" s="1128">
        <v>376</v>
      </c>
      <c r="E25" s="1129">
        <v>376</v>
      </c>
      <c r="F25" s="1130">
        <v>48.45360824742268</v>
      </c>
      <c r="G25" s="1129">
        <v>376</v>
      </c>
      <c r="H25" s="1130">
        <v>48.45360824742268</v>
      </c>
      <c r="I25" s="1128">
        <v>40</v>
      </c>
      <c r="J25" s="1128">
        <v>40</v>
      </c>
      <c r="K25" s="1128">
        <v>6</v>
      </c>
      <c r="L25" s="1128">
        <v>6</v>
      </c>
      <c r="M25" s="1128">
        <v>212</v>
      </c>
      <c r="N25" s="1128">
        <v>209</v>
      </c>
      <c r="O25" s="1128">
        <v>168</v>
      </c>
      <c r="P25" s="1128">
        <v>121</v>
      </c>
      <c r="Q25" s="1128">
        <v>350</v>
      </c>
      <c r="S25" s="621"/>
    </row>
    <row r="26" spans="1:19" ht="19.5" customHeight="1">
      <c r="A26" s="1127">
        <v>7</v>
      </c>
      <c r="B26" s="1128" t="s">
        <v>1610</v>
      </c>
      <c r="C26" s="1128">
        <v>832</v>
      </c>
      <c r="D26" s="1128">
        <v>606</v>
      </c>
      <c r="E26" s="1129">
        <v>606</v>
      </c>
      <c r="F26" s="1130">
        <v>72.83653846153847</v>
      </c>
      <c r="G26" s="1129">
        <v>606</v>
      </c>
      <c r="H26" s="1130">
        <v>72.8</v>
      </c>
      <c r="I26" s="1128">
        <v>85</v>
      </c>
      <c r="J26" s="1128">
        <v>85</v>
      </c>
      <c r="K26" s="1128">
        <v>15</v>
      </c>
      <c r="L26" s="1128">
        <v>15</v>
      </c>
      <c r="M26" s="1128">
        <v>640</v>
      </c>
      <c r="N26" s="1128">
        <v>506</v>
      </c>
      <c r="O26" s="1128">
        <v>0</v>
      </c>
      <c r="P26" s="1128">
        <v>0</v>
      </c>
      <c r="Q26" s="1128">
        <v>92</v>
      </c>
      <c r="S26" s="621"/>
    </row>
    <row r="27" spans="1:19" ht="19.5" customHeight="1">
      <c r="A27" s="1127">
        <v>8</v>
      </c>
      <c r="B27" s="1128" t="s">
        <v>1611</v>
      </c>
      <c r="C27" s="1128">
        <v>307</v>
      </c>
      <c r="D27" s="1128">
        <v>94</v>
      </c>
      <c r="E27" s="1129">
        <v>89</v>
      </c>
      <c r="F27" s="1130">
        <v>28.990228013029316</v>
      </c>
      <c r="G27" s="1129">
        <v>89</v>
      </c>
      <c r="H27" s="1130">
        <v>28.990228013029316</v>
      </c>
      <c r="I27" s="1128">
        <v>25</v>
      </c>
      <c r="J27" s="1128">
        <v>25</v>
      </c>
      <c r="K27" s="1128">
        <v>64</v>
      </c>
      <c r="L27" s="1128">
        <v>46</v>
      </c>
      <c r="M27" s="1128">
        <v>7</v>
      </c>
      <c r="N27" s="1128">
        <v>7</v>
      </c>
      <c r="O27" s="1128">
        <v>41</v>
      </c>
      <c r="P27" s="1128">
        <v>11</v>
      </c>
      <c r="Q27" s="1128">
        <v>170</v>
      </c>
      <c r="S27" s="621"/>
    </row>
    <row r="28" spans="1:19" ht="19.5" customHeight="1">
      <c r="A28" s="1127">
        <v>9</v>
      </c>
      <c r="B28" s="1128" t="s">
        <v>1612</v>
      </c>
      <c r="C28" s="1128">
        <v>1319</v>
      </c>
      <c r="D28" s="1128">
        <v>862</v>
      </c>
      <c r="E28" s="1129">
        <v>845</v>
      </c>
      <c r="F28" s="1130">
        <v>66.7</v>
      </c>
      <c r="G28" s="1129">
        <v>1167</v>
      </c>
      <c r="H28" s="1130">
        <v>66.7</v>
      </c>
      <c r="I28" s="1128">
        <v>340</v>
      </c>
      <c r="J28" s="1128">
        <v>340</v>
      </c>
      <c r="K28" s="1128">
        <v>8</v>
      </c>
      <c r="L28" s="1128">
        <v>8</v>
      </c>
      <c r="M28" s="1128">
        <v>428</v>
      </c>
      <c r="N28" s="1128">
        <v>335</v>
      </c>
      <c r="O28" s="1128">
        <v>97</v>
      </c>
      <c r="P28" s="1128">
        <v>43</v>
      </c>
      <c r="Q28" s="1128">
        <v>446</v>
      </c>
      <c r="S28" s="621"/>
    </row>
    <row r="29" spans="1:19" ht="19.5" customHeight="1">
      <c r="A29" s="1127">
        <v>10</v>
      </c>
      <c r="B29" s="1128" t="s">
        <v>1613</v>
      </c>
      <c r="C29" s="1128">
        <v>729</v>
      </c>
      <c r="D29" s="1128">
        <v>450</v>
      </c>
      <c r="E29" s="1129">
        <v>380</v>
      </c>
      <c r="F29" s="1130">
        <v>52.12620027434842</v>
      </c>
      <c r="G29" s="1129">
        <v>380</v>
      </c>
      <c r="H29" s="1130">
        <v>52.12620027434842</v>
      </c>
      <c r="I29" s="1128">
        <v>46</v>
      </c>
      <c r="J29" s="1128">
        <v>46</v>
      </c>
      <c r="K29" s="1128">
        <v>46</v>
      </c>
      <c r="L29" s="1128">
        <v>41</v>
      </c>
      <c r="M29" s="1128">
        <v>227</v>
      </c>
      <c r="N29" s="1128">
        <v>220</v>
      </c>
      <c r="O29" s="1128">
        <v>18</v>
      </c>
      <c r="P29" s="1128">
        <v>13</v>
      </c>
      <c r="Q29" s="1128">
        <v>392</v>
      </c>
      <c r="S29" s="621"/>
    </row>
    <row r="30" spans="1:19" ht="19.5" customHeight="1">
      <c r="A30" s="1127">
        <v>11</v>
      </c>
      <c r="B30" s="1128" t="s">
        <v>1614</v>
      </c>
      <c r="C30" s="1128">
        <v>603</v>
      </c>
      <c r="D30" s="1128">
        <v>390</v>
      </c>
      <c r="E30" s="1129">
        <v>367</v>
      </c>
      <c r="F30" s="1130">
        <v>60.86235489220564</v>
      </c>
      <c r="G30" s="1129">
        <v>367</v>
      </c>
      <c r="H30" s="1130">
        <v>60.86235489220564</v>
      </c>
      <c r="I30" s="1128">
        <v>75</v>
      </c>
      <c r="J30" s="1128">
        <v>75</v>
      </c>
      <c r="K30" s="1128">
        <v>9</v>
      </c>
      <c r="L30" s="1128">
        <v>9</v>
      </c>
      <c r="M30" s="1128">
        <v>322</v>
      </c>
      <c r="N30" s="1128">
        <v>272</v>
      </c>
      <c r="O30" s="1128">
        <v>0</v>
      </c>
      <c r="P30" s="1128">
        <v>0</v>
      </c>
      <c r="Q30" s="1128">
        <v>197</v>
      </c>
      <c r="S30" s="621"/>
    </row>
    <row r="31" spans="1:19" ht="19.5" customHeight="1">
      <c r="A31" s="1127">
        <v>12</v>
      </c>
      <c r="B31" s="1128" t="s">
        <v>1615</v>
      </c>
      <c r="C31" s="1128">
        <v>715</v>
      </c>
      <c r="D31" s="1128">
        <v>450</v>
      </c>
      <c r="E31" s="1129">
        <v>410</v>
      </c>
      <c r="F31" s="1130">
        <v>57.34265734265734</v>
      </c>
      <c r="G31" s="1129">
        <v>410</v>
      </c>
      <c r="H31" s="1128">
        <v>54.6</v>
      </c>
      <c r="I31" s="1128">
        <v>52</v>
      </c>
      <c r="J31" s="1128">
        <v>52</v>
      </c>
      <c r="K31" s="1128">
        <v>7</v>
      </c>
      <c r="L31" s="1128">
        <v>7</v>
      </c>
      <c r="M31" s="1128">
        <v>336</v>
      </c>
      <c r="N31" s="1128">
        <v>295</v>
      </c>
      <c r="O31" s="1128">
        <v>105</v>
      </c>
      <c r="P31" s="1128">
        <v>56</v>
      </c>
      <c r="Q31" s="1128">
        <v>215</v>
      </c>
      <c r="S31" s="621"/>
    </row>
    <row r="32" spans="1:19" ht="19.5" customHeight="1">
      <c r="A32" s="1127">
        <v>13</v>
      </c>
      <c r="B32" s="1128" t="s">
        <v>1616</v>
      </c>
      <c r="C32" s="1128">
        <v>976</v>
      </c>
      <c r="D32" s="1128">
        <v>847</v>
      </c>
      <c r="E32" s="1129">
        <v>679</v>
      </c>
      <c r="F32" s="1130">
        <v>69.56967213114754</v>
      </c>
      <c r="G32" s="1129">
        <v>679</v>
      </c>
      <c r="H32" s="1130">
        <v>65.1</v>
      </c>
      <c r="I32" s="1128">
        <v>273</v>
      </c>
      <c r="J32" s="1128">
        <v>273</v>
      </c>
      <c r="K32" s="1128">
        <v>46</v>
      </c>
      <c r="L32" s="1128">
        <v>43</v>
      </c>
      <c r="M32" s="1128">
        <v>316</v>
      </c>
      <c r="N32" s="1128">
        <v>256</v>
      </c>
      <c r="O32" s="1128">
        <v>96</v>
      </c>
      <c r="P32" s="1128">
        <v>65</v>
      </c>
      <c r="Q32" s="1128">
        <v>236</v>
      </c>
      <c r="S32" s="621"/>
    </row>
    <row r="33" spans="1:19" ht="19.5" customHeight="1">
      <c r="A33" s="1127">
        <v>14</v>
      </c>
      <c r="B33" s="1128" t="s">
        <v>1617</v>
      </c>
      <c r="C33" s="1128">
        <v>661</v>
      </c>
      <c r="D33" s="1128">
        <v>535</v>
      </c>
      <c r="E33" s="1129">
        <v>535</v>
      </c>
      <c r="F33" s="1130">
        <v>80.93797276853253</v>
      </c>
      <c r="G33" s="1129">
        <v>535</v>
      </c>
      <c r="H33" s="1130">
        <v>80.93797276853253</v>
      </c>
      <c r="I33" s="1128">
        <v>108</v>
      </c>
      <c r="J33" s="1128">
        <v>108</v>
      </c>
      <c r="K33" s="1128">
        <v>6</v>
      </c>
      <c r="L33" s="1128">
        <v>6</v>
      </c>
      <c r="M33" s="1128">
        <v>212</v>
      </c>
      <c r="N33" s="1128">
        <v>202</v>
      </c>
      <c r="O33" s="1128">
        <v>180</v>
      </c>
      <c r="P33" s="1128">
        <v>145</v>
      </c>
      <c r="Q33" s="1128">
        <v>155</v>
      </c>
      <c r="S33" s="621"/>
    </row>
    <row r="34" spans="1:19" ht="19.5" customHeight="1">
      <c r="A34" s="1127">
        <v>15</v>
      </c>
      <c r="B34" s="1128" t="s">
        <v>1618</v>
      </c>
      <c r="C34" s="1128">
        <v>938</v>
      </c>
      <c r="D34" s="1128">
        <v>759</v>
      </c>
      <c r="E34" s="1129">
        <v>741</v>
      </c>
      <c r="F34" s="1130">
        <v>78.99786780383795</v>
      </c>
      <c r="G34" s="1129">
        <v>741</v>
      </c>
      <c r="H34" s="1130">
        <v>78.99786780383795</v>
      </c>
      <c r="I34" s="1128">
        <v>92</v>
      </c>
      <c r="J34" s="1128">
        <v>92</v>
      </c>
      <c r="K34" s="1128">
        <v>64</v>
      </c>
      <c r="L34" s="1128">
        <v>59</v>
      </c>
      <c r="M34" s="1128">
        <v>535</v>
      </c>
      <c r="N34" s="1128">
        <v>471</v>
      </c>
      <c r="O34" s="1128">
        <v>120</v>
      </c>
      <c r="P34" s="1128">
        <v>89</v>
      </c>
      <c r="Q34" s="1128">
        <v>127</v>
      </c>
      <c r="S34" s="621"/>
    </row>
    <row r="35" spans="1:19" ht="19.5" customHeight="1">
      <c r="A35" s="1120" t="s">
        <v>496</v>
      </c>
      <c r="B35" s="1122" t="s">
        <v>1619</v>
      </c>
      <c r="C35" s="1122"/>
      <c r="D35" s="1122"/>
      <c r="E35" s="1122"/>
      <c r="F35" s="1131"/>
      <c r="G35" s="1122"/>
      <c r="H35" s="1131"/>
      <c r="I35" s="1122"/>
      <c r="J35" s="1122"/>
      <c r="K35" s="1122"/>
      <c r="L35" s="1122"/>
      <c r="M35" s="1122"/>
      <c r="N35" s="1122"/>
      <c r="O35" s="1122"/>
      <c r="P35" s="1122"/>
      <c r="Q35" s="1122"/>
      <c r="S35" s="621"/>
    </row>
    <row r="36" spans="1:19" ht="19.5" customHeight="1">
      <c r="A36" s="1123">
        <v>1</v>
      </c>
      <c r="B36" s="1124" t="s">
        <v>1620</v>
      </c>
      <c r="C36" s="1124">
        <v>1492</v>
      </c>
      <c r="D36" s="1124">
        <v>1436</v>
      </c>
      <c r="E36" s="1124">
        <v>1436</v>
      </c>
      <c r="F36" s="1126">
        <v>96.24664879356568</v>
      </c>
      <c r="G36" s="1124">
        <v>1436</v>
      </c>
      <c r="H36" s="1126">
        <v>96.2</v>
      </c>
      <c r="I36" s="1124">
        <v>1348</v>
      </c>
      <c r="J36" s="1124">
        <v>1348</v>
      </c>
      <c r="K36" s="1124">
        <v>67</v>
      </c>
      <c r="L36" s="1124">
        <v>67</v>
      </c>
      <c r="M36" s="1124">
        <v>21</v>
      </c>
      <c r="N36" s="1124">
        <v>21</v>
      </c>
      <c r="O36" s="1124">
        <v>0</v>
      </c>
      <c r="P36" s="1124">
        <v>0</v>
      </c>
      <c r="Q36" s="1124">
        <v>56</v>
      </c>
      <c r="S36" s="621"/>
    </row>
    <row r="37" spans="1:19" ht="19.5" customHeight="1">
      <c r="A37" s="1123">
        <v>2</v>
      </c>
      <c r="B37" s="1124" t="s">
        <v>1621</v>
      </c>
      <c r="C37" s="1124">
        <v>2061</v>
      </c>
      <c r="D37" s="1124">
        <v>1982</v>
      </c>
      <c r="E37" s="1125">
        <v>1983</v>
      </c>
      <c r="F37" s="1126">
        <v>96.21542940320234</v>
      </c>
      <c r="G37" s="1125">
        <v>1983</v>
      </c>
      <c r="H37" s="1126">
        <v>96.2</v>
      </c>
      <c r="I37" s="1124">
        <v>1916</v>
      </c>
      <c r="J37" s="1124">
        <v>1916</v>
      </c>
      <c r="K37" s="1124">
        <v>20</v>
      </c>
      <c r="L37" s="1124">
        <v>20</v>
      </c>
      <c r="M37" s="1124">
        <v>76</v>
      </c>
      <c r="N37" s="1124">
        <v>32</v>
      </c>
      <c r="O37" s="1124">
        <v>49</v>
      </c>
      <c r="P37" s="1124">
        <v>15</v>
      </c>
      <c r="Q37" s="1124">
        <v>0</v>
      </c>
      <c r="S37" s="621"/>
    </row>
    <row r="38" spans="1:19" ht="19.5" customHeight="1">
      <c r="A38" s="1123">
        <v>3</v>
      </c>
      <c r="B38" s="1124" t="s">
        <v>1622</v>
      </c>
      <c r="C38" s="1124">
        <v>2179</v>
      </c>
      <c r="D38" s="1124">
        <v>2150</v>
      </c>
      <c r="E38" s="1125">
        <v>2148</v>
      </c>
      <c r="F38" s="1126">
        <v>98.57732905002294</v>
      </c>
      <c r="G38" s="1125">
        <v>2148</v>
      </c>
      <c r="H38" s="1126">
        <v>98.57732905002294</v>
      </c>
      <c r="I38" s="1124">
        <v>2042</v>
      </c>
      <c r="J38" s="1125">
        <v>2039</v>
      </c>
      <c r="K38" s="1124">
        <v>16</v>
      </c>
      <c r="L38" s="1124">
        <v>16</v>
      </c>
      <c r="M38" s="1124">
        <v>46</v>
      </c>
      <c r="N38" s="1124">
        <v>42</v>
      </c>
      <c r="O38" s="1124">
        <v>0</v>
      </c>
      <c r="P38" s="1124">
        <v>0</v>
      </c>
      <c r="Q38" s="1124">
        <v>75</v>
      </c>
      <c r="S38" s="621"/>
    </row>
    <row r="39" spans="1:19" ht="19.5" customHeight="1">
      <c r="A39" s="1123">
        <v>4</v>
      </c>
      <c r="B39" s="1124" t="s">
        <v>1623</v>
      </c>
      <c r="C39" s="1124">
        <v>1547</v>
      </c>
      <c r="D39" s="1124">
        <v>1491</v>
      </c>
      <c r="E39" s="1125">
        <v>1469</v>
      </c>
      <c r="F39" s="1126">
        <v>94.95798319327731</v>
      </c>
      <c r="G39" s="1125">
        <v>1469</v>
      </c>
      <c r="H39" s="1126">
        <v>94.95798319327731</v>
      </c>
      <c r="I39" s="1124">
        <v>1422</v>
      </c>
      <c r="J39" s="1124">
        <v>1422</v>
      </c>
      <c r="K39" s="1124">
        <v>15</v>
      </c>
      <c r="L39" s="1124">
        <v>15</v>
      </c>
      <c r="M39" s="1124">
        <v>56</v>
      </c>
      <c r="N39" s="1124">
        <v>32</v>
      </c>
      <c r="O39" s="1124">
        <v>0</v>
      </c>
      <c r="P39" s="1124">
        <v>0</v>
      </c>
      <c r="Q39" s="1124">
        <v>54</v>
      </c>
      <c r="S39" s="621"/>
    </row>
    <row r="40" spans="1:19" ht="19.5" customHeight="1">
      <c r="A40" s="1123">
        <v>5</v>
      </c>
      <c r="B40" s="1124" t="s">
        <v>1624</v>
      </c>
      <c r="C40" s="1124">
        <v>1247</v>
      </c>
      <c r="D40" s="1124">
        <v>1012</v>
      </c>
      <c r="E40" s="1125">
        <v>1014</v>
      </c>
      <c r="F40" s="1126">
        <v>81.31515637530072</v>
      </c>
      <c r="G40" s="1125">
        <v>1014</v>
      </c>
      <c r="H40" s="1126">
        <v>81.3</v>
      </c>
      <c r="I40" s="1124">
        <v>874</v>
      </c>
      <c r="J40" s="1124">
        <v>874</v>
      </c>
      <c r="K40" s="1124">
        <v>8</v>
      </c>
      <c r="L40" s="1124">
        <v>8</v>
      </c>
      <c r="M40" s="1124">
        <v>134</v>
      </c>
      <c r="N40" s="1124">
        <v>128</v>
      </c>
      <c r="O40" s="1124">
        <v>4</v>
      </c>
      <c r="P40" s="1124">
        <v>4</v>
      </c>
      <c r="Q40" s="1124">
        <v>227</v>
      </c>
      <c r="S40" s="621"/>
    </row>
    <row r="41" spans="1:19" ht="19.5" customHeight="1">
      <c r="A41" s="1123">
        <v>6</v>
      </c>
      <c r="B41" s="1124" t="s">
        <v>1625</v>
      </c>
      <c r="C41" s="1124">
        <v>796</v>
      </c>
      <c r="D41" s="1124">
        <v>605</v>
      </c>
      <c r="E41" s="1125">
        <v>601</v>
      </c>
      <c r="F41" s="1126">
        <v>75.50251256281408</v>
      </c>
      <c r="G41" s="1125">
        <v>601</v>
      </c>
      <c r="H41" s="1126">
        <v>75.50251256281408</v>
      </c>
      <c r="I41" s="1124">
        <v>273</v>
      </c>
      <c r="J41" s="1124">
        <v>273</v>
      </c>
      <c r="K41" s="1124">
        <v>11</v>
      </c>
      <c r="L41" s="1124">
        <v>11</v>
      </c>
      <c r="M41" s="1124">
        <v>346</v>
      </c>
      <c r="N41" s="1124">
        <v>306</v>
      </c>
      <c r="O41" s="1124">
        <v>23</v>
      </c>
      <c r="P41" s="1124">
        <v>9</v>
      </c>
      <c r="Q41" s="1124">
        <v>143</v>
      </c>
      <c r="S41" s="621"/>
    </row>
    <row r="42" spans="1:19" ht="19.5" customHeight="1">
      <c r="A42" s="1123">
        <v>7</v>
      </c>
      <c r="B42" s="1124" t="s">
        <v>1626</v>
      </c>
      <c r="C42" s="1124">
        <v>815</v>
      </c>
      <c r="D42" s="1124">
        <v>520</v>
      </c>
      <c r="E42" s="1125">
        <v>520</v>
      </c>
      <c r="F42" s="1126">
        <v>63.80368098159509</v>
      </c>
      <c r="G42" s="1125">
        <v>520</v>
      </c>
      <c r="H42" s="1126">
        <v>63.80368098159509</v>
      </c>
      <c r="I42" s="1124">
        <v>230</v>
      </c>
      <c r="J42" s="1124">
        <v>230</v>
      </c>
      <c r="K42" s="1124">
        <v>42</v>
      </c>
      <c r="L42" s="1124">
        <v>42</v>
      </c>
      <c r="M42" s="1124">
        <v>276</v>
      </c>
      <c r="N42" s="1124">
        <v>160</v>
      </c>
      <c r="O42" s="1124">
        <v>1</v>
      </c>
      <c r="P42" s="1124">
        <v>1</v>
      </c>
      <c r="Q42" s="1124">
        <v>266</v>
      </c>
      <c r="S42" s="621"/>
    </row>
    <row r="43" spans="1:19" ht="19.5" customHeight="1">
      <c r="A43" s="1123">
        <v>8</v>
      </c>
      <c r="B43" s="1124" t="s">
        <v>1627</v>
      </c>
      <c r="C43" s="1124">
        <v>762</v>
      </c>
      <c r="D43" s="1124">
        <v>485</v>
      </c>
      <c r="E43" s="1125">
        <v>485</v>
      </c>
      <c r="F43" s="1126">
        <v>63.648293963254595</v>
      </c>
      <c r="G43" s="1125">
        <v>485</v>
      </c>
      <c r="H43" s="1126">
        <v>63.648293963254595</v>
      </c>
      <c r="I43" s="1124">
        <v>248</v>
      </c>
      <c r="J43" s="1124">
        <v>248</v>
      </c>
      <c r="K43" s="1124">
        <v>81</v>
      </c>
      <c r="L43" s="1124">
        <v>81</v>
      </c>
      <c r="M43" s="1124">
        <v>166</v>
      </c>
      <c r="N43" s="1124">
        <v>73</v>
      </c>
      <c r="O43" s="1124">
        <v>33</v>
      </c>
      <c r="P43" s="1124">
        <v>3</v>
      </c>
      <c r="Q43" s="1124">
        <v>234</v>
      </c>
      <c r="S43" s="621"/>
    </row>
    <row r="44" spans="1:19" ht="19.5" customHeight="1">
      <c r="A44" s="1120" t="s">
        <v>498</v>
      </c>
      <c r="B44" s="1122" t="s">
        <v>1628</v>
      </c>
      <c r="C44" s="1122"/>
      <c r="D44" s="1122"/>
      <c r="E44" s="1122"/>
      <c r="F44" s="1131"/>
      <c r="G44" s="1122"/>
      <c r="H44" s="1131"/>
      <c r="I44" s="1122"/>
      <c r="J44" s="1122"/>
      <c r="K44" s="1122"/>
      <c r="L44" s="1122"/>
      <c r="M44" s="1122"/>
      <c r="N44" s="1122"/>
      <c r="O44" s="1122"/>
      <c r="P44" s="1122"/>
      <c r="Q44" s="1122"/>
      <c r="S44" s="621"/>
    </row>
    <row r="45" spans="1:19" ht="19.5" customHeight="1">
      <c r="A45" s="1123">
        <v>1</v>
      </c>
      <c r="B45" s="1124" t="s">
        <v>1629</v>
      </c>
      <c r="C45" s="1124">
        <v>1159</v>
      </c>
      <c r="D45" s="1124">
        <v>417</v>
      </c>
      <c r="E45" s="1125">
        <v>452</v>
      </c>
      <c r="F45" s="1126">
        <v>38.999137187230374</v>
      </c>
      <c r="G45" s="1124">
        <v>477</v>
      </c>
      <c r="H45" s="1126">
        <v>41.1</v>
      </c>
      <c r="I45" s="1124">
        <v>100</v>
      </c>
      <c r="J45" s="1124">
        <v>100</v>
      </c>
      <c r="K45" s="1124">
        <v>12</v>
      </c>
      <c r="L45" s="1124">
        <v>12</v>
      </c>
      <c r="M45" s="1124">
        <v>138</v>
      </c>
      <c r="N45" s="1124">
        <v>115</v>
      </c>
      <c r="O45" s="1124">
        <v>246</v>
      </c>
      <c r="P45" s="1124">
        <v>139</v>
      </c>
      <c r="Q45" s="1124">
        <v>663</v>
      </c>
      <c r="S45" s="621"/>
    </row>
    <row r="46" spans="1:19" ht="19.5" customHeight="1">
      <c r="A46" s="1123">
        <v>2</v>
      </c>
      <c r="B46" s="1124" t="s">
        <v>1630</v>
      </c>
      <c r="C46" s="1124">
        <v>729</v>
      </c>
      <c r="D46" s="1124">
        <v>288</v>
      </c>
      <c r="E46" s="1125">
        <v>355</v>
      </c>
      <c r="F46" s="1126">
        <v>48.69684499314129</v>
      </c>
      <c r="G46" s="1124">
        <v>288</v>
      </c>
      <c r="H46" s="1126">
        <v>40</v>
      </c>
      <c r="I46" s="1124">
        <v>42</v>
      </c>
      <c r="J46" s="1124">
        <v>42</v>
      </c>
      <c r="K46" s="1124">
        <v>11</v>
      </c>
      <c r="L46" s="1124">
        <v>11</v>
      </c>
      <c r="M46" s="1124">
        <v>24</v>
      </c>
      <c r="N46" s="1124">
        <v>24</v>
      </c>
      <c r="O46" s="1124">
        <v>344</v>
      </c>
      <c r="P46" s="1124">
        <v>211</v>
      </c>
      <c r="Q46" s="1124">
        <v>308</v>
      </c>
      <c r="S46" s="621"/>
    </row>
    <row r="47" spans="1:19" ht="19.5" customHeight="1">
      <c r="A47" s="1123">
        <v>3</v>
      </c>
      <c r="B47" s="1124" t="s">
        <v>1631</v>
      </c>
      <c r="C47" s="1124">
        <v>263</v>
      </c>
      <c r="D47" s="1124">
        <v>25</v>
      </c>
      <c r="E47" s="1125">
        <v>80</v>
      </c>
      <c r="F47" s="1126">
        <v>30.418250950570343</v>
      </c>
      <c r="G47" s="1124">
        <v>45</v>
      </c>
      <c r="H47" s="1125">
        <v>17.1</v>
      </c>
      <c r="I47" s="1124">
        <v>0</v>
      </c>
      <c r="J47" s="1124">
        <v>0</v>
      </c>
      <c r="K47" s="1124">
        <v>22</v>
      </c>
      <c r="L47" s="1124">
        <v>15</v>
      </c>
      <c r="M47" s="1124">
        <v>13</v>
      </c>
      <c r="N47" s="1124">
        <v>9</v>
      </c>
      <c r="O47" s="1124">
        <v>28</v>
      </c>
      <c r="P47" s="1124">
        <v>2</v>
      </c>
      <c r="Q47" s="1124">
        <v>200</v>
      </c>
      <c r="S47" s="621"/>
    </row>
    <row r="48" spans="1:19" ht="19.5" customHeight="1">
      <c r="A48" s="1123">
        <v>4</v>
      </c>
      <c r="B48" s="1124" t="s">
        <v>1632</v>
      </c>
      <c r="C48" s="1124">
        <v>729</v>
      </c>
      <c r="D48" s="1124">
        <v>484</v>
      </c>
      <c r="E48" s="1125">
        <v>474</v>
      </c>
      <c r="F48" s="1126">
        <v>65.02057613168725</v>
      </c>
      <c r="G48" s="1125">
        <v>474</v>
      </c>
      <c r="H48" s="1126">
        <v>65.02057613168725</v>
      </c>
      <c r="I48" s="1124">
        <v>6</v>
      </c>
      <c r="J48" s="1124">
        <v>6</v>
      </c>
      <c r="K48" s="1124">
        <v>304</v>
      </c>
      <c r="L48" s="1124">
        <v>286</v>
      </c>
      <c r="M48" s="1124">
        <v>84</v>
      </c>
      <c r="N48" s="1124">
        <v>77</v>
      </c>
      <c r="O48" s="1124">
        <v>77</v>
      </c>
      <c r="P48" s="1124">
        <v>45</v>
      </c>
      <c r="Q48" s="1124">
        <v>258</v>
      </c>
      <c r="S48" s="621"/>
    </row>
    <row r="49" spans="1:19" ht="19.5" customHeight="1">
      <c r="A49" s="1123">
        <v>5</v>
      </c>
      <c r="B49" s="1124" t="s">
        <v>1633</v>
      </c>
      <c r="C49" s="1124">
        <v>774</v>
      </c>
      <c r="D49" s="1124">
        <v>370</v>
      </c>
      <c r="E49" s="1125">
        <v>368</v>
      </c>
      <c r="F49" s="1126">
        <v>47.54521963824289</v>
      </c>
      <c r="G49" s="1124">
        <v>340</v>
      </c>
      <c r="H49" s="1126">
        <v>44</v>
      </c>
      <c r="I49" s="1124">
        <v>157</v>
      </c>
      <c r="J49" s="1125">
        <v>157</v>
      </c>
      <c r="K49" s="1124">
        <v>7</v>
      </c>
      <c r="L49" s="1124">
        <v>7</v>
      </c>
      <c r="M49" s="1124">
        <v>20</v>
      </c>
      <c r="N49" s="1124">
        <v>20</v>
      </c>
      <c r="O49" s="1124">
        <v>20</v>
      </c>
      <c r="P49" s="1124">
        <v>19</v>
      </c>
      <c r="Q49" s="1124">
        <v>570</v>
      </c>
      <c r="S49" s="621"/>
    </row>
    <row r="50" spans="1:19" ht="19.5" customHeight="1">
      <c r="A50" s="1123">
        <v>6</v>
      </c>
      <c r="B50" s="1124" t="s">
        <v>1634</v>
      </c>
      <c r="C50" s="1124">
        <v>914</v>
      </c>
      <c r="D50" s="1124">
        <v>754</v>
      </c>
      <c r="E50" s="1125">
        <v>636</v>
      </c>
      <c r="F50" s="1126">
        <v>69.58424507658643</v>
      </c>
      <c r="G50" s="1124">
        <v>754</v>
      </c>
      <c r="H50" s="1126">
        <v>82</v>
      </c>
      <c r="I50" s="1124">
        <v>382</v>
      </c>
      <c r="J50" s="1124">
        <v>382</v>
      </c>
      <c r="K50" s="1124">
        <v>16</v>
      </c>
      <c r="L50" s="1124">
        <v>15</v>
      </c>
      <c r="M50" s="1124">
        <v>254</v>
      </c>
      <c r="N50" s="1124">
        <v>234</v>
      </c>
      <c r="O50" s="1124">
        <v>8</v>
      </c>
      <c r="P50" s="1124">
        <v>5</v>
      </c>
      <c r="Q50" s="1124">
        <v>254</v>
      </c>
      <c r="S50" s="621"/>
    </row>
    <row r="51" spans="1:19" ht="19.5" customHeight="1">
      <c r="A51" s="1123">
        <v>7</v>
      </c>
      <c r="B51" s="1124" t="s">
        <v>1635</v>
      </c>
      <c r="C51" s="1124">
        <v>408</v>
      </c>
      <c r="D51" s="1124">
        <v>192</v>
      </c>
      <c r="E51" s="1125">
        <v>156</v>
      </c>
      <c r="F51" s="1126">
        <v>38.23529411764706</v>
      </c>
      <c r="G51" s="1124">
        <v>192</v>
      </c>
      <c r="H51" s="1126">
        <v>34</v>
      </c>
      <c r="I51" s="1124">
        <v>34</v>
      </c>
      <c r="J51" s="1124">
        <v>34</v>
      </c>
      <c r="K51" s="1124">
        <v>1</v>
      </c>
      <c r="L51" s="1124">
        <v>1</v>
      </c>
      <c r="M51" s="1124">
        <v>93</v>
      </c>
      <c r="N51" s="1124">
        <v>90</v>
      </c>
      <c r="O51" s="1124">
        <v>29</v>
      </c>
      <c r="P51" s="1124">
        <v>10</v>
      </c>
      <c r="Q51" s="1124">
        <v>251</v>
      </c>
      <c r="S51" s="621"/>
    </row>
    <row r="52" spans="1:19" ht="19.5" customHeight="1">
      <c r="A52" s="1123">
        <v>8</v>
      </c>
      <c r="B52" s="1124" t="s">
        <v>1636</v>
      </c>
      <c r="C52" s="1124">
        <v>794</v>
      </c>
      <c r="D52" s="1124">
        <v>435</v>
      </c>
      <c r="E52" s="1125">
        <v>432</v>
      </c>
      <c r="F52" s="1126">
        <v>54.4080604534005</v>
      </c>
      <c r="G52" s="1124">
        <v>272</v>
      </c>
      <c r="H52" s="1126">
        <v>34</v>
      </c>
      <c r="I52" s="1124">
        <v>99</v>
      </c>
      <c r="J52" s="1124">
        <v>99</v>
      </c>
      <c r="K52" s="1124">
        <v>18</v>
      </c>
      <c r="L52" s="1124">
        <v>18</v>
      </c>
      <c r="M52" s="1124">
        <v>100</v>
      </c>
      <c r="N52" s="1124">
        <v>100</v>
      </c>
      <c r="O52" s="1124">
        <v>0</v>
      </c>
      <c r="P52" s="1124">
        <v>0</v>
      </c>
      <c r="Q52" s="1124">
        <v>577</v>
      </c>
      <c r="S52" s="621"/>
    </row>
    <row r="53" spans="1:19" ht="19.5" customHeight="1">
      <c r="A53" s="1123">
        <v>9</v>
      </c>
      <c r="B53" s="1124" t="s">
        <v>1637</v>
      </c>
      <c r="C53" s="1124">
        <v>395</v>
      </c>
      <c r="D53" s="1124">
        <v>298</v>
      </c>
      <c r="E53" s="1125">
        <v>261</v>
      </c>
      <c r="F53" s="1126">
        <v>66.07594936708861</v>
      </c>
      <c r="G53" s="1125">
        <v>261</v>
      </c>
      <c r="H53" s="1126">
        <v>66.07594936708861</v>
      </c>
      <c r="I53" s="1124">
        <v>15</v>
      </c>
      <c r="J53" s="1124">
        <v>15</v>
      </c>
      <c r="K53" s="1124">
        <v>2</v>
      </c>
      <c r="L53" s="1124">
        <v>2</v>
      </c>
      <c r="M53" s="1124">
        <v>205</v>
      </c>
      <c r="N53" s="1124">
        <v>156</v>
      </c>
      <c r="O53" s="1124">
        <v>104</v>
      </c>
      <c r="P53" s="1124">
        <v>86</v>
      </c>
      <c r="Q53" s="1124">
        <v>69</v>
      </c>
      <c r="S53" s="621"/>
    </row>
    <row r="54" spans="1:19" ht="19.5" customHeight="1">
      <c r="A54" s="1123">
        <v>10</v>
      </c>
      <c r="B54" s="1124" t="s">
        <v>1638</v>
      </c>
      <c r="C54" s="1124">
        <v>561</v>
      </c>
      <c r="D54" s="1124">
        <v>287</v>
      </c>
      <c r="E54" s="1125">
        <v>269</v>
      </c>
      <c r="F54" s="1126">
        <v>47.95008912655972</v>
      </c>
      <c r="G54" s="1125">
        <v>269</v>
      </c>
      <c r="H54" s="1126">
        <v>47.95008912655972</v>
      </c>
      <c r="I54" s="1124">
        <v>41</v>
      </c>
      <c r="J54" s="1124">
        <v>41</v>
      </c>
      <c r="K54" s="1124">
        <v>41</v>
      </c>
      <c r="L54" s="1124">
        <v>41</v>
      </c>
      <c r="M54" s="1124">
        <v>63</v>
      </c>
      <c r="N54" s="1124">
        <v>63</v>
      </c>
      <c r="O54" s="1124">
        <v>20</v>
      </c>
      <c r="P54" s="1124">
        <v>20</v>
      </c>
      <c r="Q54" s="1124">
        <v>396</v>
      </c>
      <c r="S54" s="621"/>
    </row>
    <row r="55" spans="1:19" ht="19.5" customHeight="1">
      <c r="A55" s="1120" t="s">
        <v>1639</v>
      </c>
      <c r="B55" s="1122" t="s">
        <v>1640</v>
      </c>
      <c r="C55" s="1122"/>
      <c r="D55" s="1122"/>
      <c r="E55" s="1122"/>
      <c r="F55" s="1131"/>
      <c r="G55" s="1122"/>
      <c r="H55" s="1131"/>
      <c r="I55" s="1122"/>
      <c r="J55" s="1122"/>
      <c r="K55" s="1122"/>
      <c r="L55" s="1122"/>
      <c r="M55" s="1122"/>
      <c r="N55" s="1122"/>
      <c r="O55" s="1122"/>
      <c r="P55" s="1122"/>
      <c r="Q55" s="1122"/>
      <c r="S55" s="621"/>
    </row>
    <row r="56" spans="1:19" ht="19.5" customHeight="1">
      <c r="A56" s="1123">
        <v>1</v>
      </c>
      <c r="B56" s="1124" t="s">
        <v>1641</v>
      </c>
      <c r="C56" s="1124">
        <v>279</v>
      </c>
      <c r="D56" s="1124">
        <v>204</v>
      </c>
      <c r="E56" s="1125">
        <v>204</v>
      </c>
      <c r="F56" s="1126">
        <v>73.11827956989248</v>
      </c>
      <c r="G56" s="1124">
        <v>204</v>
      </c>
      <c r="H56" s="1126">
        <v>68.7</v>
      </c>
      <c r="I56" s="1124">
        <v>27</v>
      </c>
      <c r="J56" s="1124">
        <v>27</v>
      </c>
      <c r="K56" s="1124">
        <v>0</v>
      </c>
      <c r="L56" s="1124">
        <v>0</v>
      </c>
      <c r="M56" s="1124">
        <v>165</v>
      </c>
      <c r="N56" s="1124">
        <v>157</v>
      </c>
      <c r="O56" s="1124">
        <v>64</v>
      </c>
      <c r="P56" s="1124">
        <v>20</v>
      </c>
      <c r="Q56" s="1124">
        <v>41</v>
      </c>
      <c r="S56" s="621"/>
    </row>
    <row r="57" spans="1:19" ht="19.5" customHeight="1">
      <c r="A57" s="1123">
        <v>2</v>
      </c>
      <c r="B57" s="1124" t="s">
        <v>1642</v>
      </c>
      <c r="C57" s="1124">
        <v>534</v>
      </c>
      <c r="D57" s="1124">
        <v>379</v>
      </c>
      <c r="E57" s="1125">
        <v>365</v>
      </c>
      <c r="F57" s="1126">
        <v>68.35205992509363</v>
      </c>
      <c r="G57" s="1124">
        <v>379</v>
      </c>
      <c r="H57" s="1126">
        <v>71</v>
      </c>
      <c r="I57" s="1124">
        <v>49</v>
      </c>
      <c r="J57" s="1124">
        <v>49</v>
      </c>
      <c r="K57" s="1124">
        <v>2</v>
      </c>
      <c r="L57" s="1124">
        <v>2</v>
      </c>
      <c r="M57" s="1124">
        <v>267</v>
      </c>
      <c r="N57" s="1124">
        <v>267</v>
      </c>
      <c r="O57" s="1124">
        <v>108</v>
      </c>
      <c r="P57" s="1124">
        <v>81</v>
      </c>
      <c r="Q57" s="1124">
        <v>108</v>
      </c>
      <c r="S57" s="621"/>
    </row>
    <row r="58" spans="1:19" ht="19.5" customHeight="1">
      <c r="A58" s="1123">
        <v>3</v>
      </c>
      <c r="B58" s="1124" t="s">
        <v>1643</v>
      </c>
      <c r="C58" s="1124">
        <v>398</v>
      </c>
      <c r="D58" s="1124">
        <v>364</v>
      </c>
      <c r="E58" s="1125">
        <v>286</v>
      </c>
      <c r="F58" s="1126">
        <v>71.85929648241206</v>
      </c>
      <c r="G58" s="1125">
        <v>286</v>
      </c>
      <c r="H58" s="1124">
        <v>91.5</v>
      </c>
      <c r="I58" s="1124">
        <v>29</v>
      </c>
      <c r="J58" s="1124">
        <v>29</v>
      </c>
      <c r="K58" s="1124">
        <v>5</v>
      </c>
      <c r="L58" s="1124">
        <v>5</v>
      </c>
      <c r="M58" s="1124">
        <v>319</v>
      </c>
      <c r="N58" s="1124">
        <v>251</v>
      </c>
      <c r="O58" s="1124">
        <v>3</v>
      </c>
      <c r="P58" s="1124">
        <v>1</v>
      </c>
      <c r="Q58" s="1124">
        <v>42</v>
      </c>
      <c r="S58" s="621"/>
    </row>
    <row r="59" spans="1:19" ht="19.5" customHeight="1">
      <c r="A59" s="1123">
        <v>4</v>
      </c>
      <c r="B59" s="1124" t="s">
        <v>1644</v>
      </c>
      <c r="C59" s="1124">
        <v>725</v>
      </c>
      <c r="D59" s="1124">
        <v>569</v>
      </c>
      <c r="E59" s="1125">
        <v>501</v>
      </c>
      <c r="F59" s="1126">
        <v>69.1</v>
      </c>
      <c r="G59" s="1125">
        <v>446</v>
      </c>
      <c r="H59" s="1126">
        <v>61.9</v>
      </c>
      <c r="I59" s="1124">
        <v>140</v>
      </c>
      <c r="J59" s="1124">
        <v>140</v>
      </c>
      <c r="K59" s="1124">
        <v>3</v>
      </c>
      <c r="L59" s="1124">
        <v>3</v>
      </c>
      <c r="M59" s="1124">
        <v>388</v>
      </c>
      <c r="N59" s="1124">
        <v>248</v>
      </c>
      <c r="O59" s="1124">
        <v>94</v>
      </c>
      <c r="P59" s="1124">
        <v>75</v>
      </c>
      <c r="Q59" s="1124">
        <v>100</v>
      </c>
      <c r="S59" s="621"/>
    </row>
    <row r="60" spans="1:19" ht="19.5" customHeight="1">
      <c r="A60" s="1123">
        <v>5</v>
      </c>
      <c r="B60" s="1124" t="s">
        <v>1645</v>
      </c>
      <c r="C60" s="1124">
        <v>544</v>
      </c>
      <c r="D60" s="1124">
        <v>395</v>
      </c>
      <c r="E60" s="1125">
        <v>378</v>
      </c>
      <c r="F60" s="1126">
        <v>69.48529411764706</v>
      </c>
      <c r="G60" s="1125">
        <v>378</v>
      </c>
      <c r="H60" s="1126">
        <v>69.48529411764706</v>
      </c>
      <c r="I60" s="1124">
        <v>70</v>
      </c>
      <c r="J60" s="1124">
        <v>70</v>
      </c>
      <c r="K60" s="1124">
        <v>2</v>
      </c>
      <c r="L60" s="1124">
        <v>2</v>
      </c>
      <c r="M60" s="1124">
        <v>328</v>
      </c>
      <c r="N60" s="1124">
        <v>296</v>
      </c>
      <c r="O60" s="1124">
        <v>10</v>
      </c>
      <c r="P60" s="1124">
        <v>0</v>
      </c>
      <c r="Q60" s="1124">
        <v>134</v>
      </c>
      <c r="S60" s="621"/>
    </row>
    <row r="61" spans="1:19" ht="19.5" customHeight="1">
      <c r="A61" s="1123">
        <v>6</v>
      </c>
      <c r="B61" s="1124" t="s">
        <v>1646</v>
      </c>
      <c r="C61" s="1124">
        <v>725</v>
      </c>
      <c r="D61" s="1124">
        <v>537</v>
      </c>
      <c r="E61" s="1125">
        <v>515</v>
      </c>
      <c r="F61" s="1126">
        <v>71.5</v>
      </c>
      <c r="G61" s="1124">
        <v>537</v>
      </c>
      <c r="H61" s="1126">
        <v>71.5</v>
      </c>
      <c r="I61" s="1124">
        <v>122</v>
      </c>
      <c r="J61" s="1124">
        <v>122</v>
      </c>
      <c r="K61" s="1124">
        <v>13</v>
      </c>
      <c r="L61" s="1124">
        <v>12</v>
      </c>
      <c r="M61" s="1124">
        <v>199</v>
      </c>
      <c r="N61" s="1124">
        <v>168</v>
      </c>
      <c r="O61" s="1124">
        <v>165</v>
      </c>
      <c r="P61" s="1124">
        <v>139</v>
      </c>
      <c r="Q61" s="1124">
        <v>226</v>
      </c>
      <c r="S61" s="621"/>
    </row>
    <row r="62" spans="1:19" ht="19.5" customHeight="1">
      <c r="A62" s="1123">
        <v>7</v>
      </c>
      <c r="B62" s="1124" t="s">
        <v>1647</v>
      </c>
      <c r="C62" s="1124">
        <v>293</v>
      </c>
      <c r="D62" s="1124">
        <v>194</v>
      </c>
      <c r="E62" s="1125">
        <v>194</v>
      </c>
      <c r="F62" s="1126">
        <v>66.21160409556315</v>
      </c>
      <c r="G62" s="1124">
        <v>194</v>
      </c>
      <c r="H62" s="1126">
        <v>66.2</v>
      </c>
      <c r="I62" s="1124">
        <v>34</v>
      </c>
      <c r="J62" s="1124">
        <v>34</v>
      </c>
      <c r="K62" s="1124">
        <v>2</v>
      </c>
      <c r="L62" s="1124">
        <v>2</v>
      </c>
      <c r="M62" s="1124">
        <v>140</v>
      </c>
      <c r="N62" s="1124">
        <v>131</v>
      </c>
      <c r="O62" s="1124">
        <v>35</v>
      </c>
      <c r="P62" s="1124">
        <v>12</v>
      </c>
      <c r="Q62" s="1124">
        <v>82</v>
      </c>
      <c r="S62" s="621"/>
    </row>
    <row r="63" spans="1:19" ht="19.5" customHeight="1">
      <c r="A63" s="1123">
        <v>8</v>
      </c>
      <c r="B63" s="1124" t="s">
        <v>1648</v>
      </c>
      <c r="C63" s="1124">
        <v>701</v>
      </c>
      <c r="D63" s="1124">
        <v>275</v>
      </c>
      <c r="E63" s="1125">
        <v>350</v>
      </c>
      <c r="F63" s="1126">
        <v>49.15</v>
      </c>
      <c r="G63" s="1125">
        <v>350</v>
      </c>
      <c r="H63" s="1126">
        <v>49.2</v>
      </c>
      <c r="I63" s="1124">
        <v>120</v>
      </c>
      <c r="J63" s="1124">
        <v>135</v>
      </c>
      <c r="K63" s="1124">
        <v>18</v>
      </c>
      <c r="L63" s="1124">
        <v>17</v>
      </c>
      <c r="M63" s="1124">
        <v>106</v>
      </c>
      <c r="N63" s="1124">
        <v>86</v>
      </c>
      <c r="O63" s="1124">
        <v>118</v>
      </c>
      <c r="P63" s="1124">
        <v>50</v>
      </c>
      <c r="Q63" s="1124">
        <v>339</v>
      </c>
      <c r="S63" s="621"/>
    </row>
    <row r="64" spans="1:19" ht="19.5" customHeight="1">
      <c r="A64" s="1123">
        <v>9</v>
      </c>
      <c r="B64" s="1124" t="s">
        <v>1649</v>
      </c>
      <c r="C64" s="1124">
        <v>456</v>
      </c>
      <c r="D64" s="1124">
        <v>256</v>
      </c>
      <c r="E64" s="1125">
        <v>249</v>
      </c>
      <c r="F64" s="1126">
        <v>54.60526315789474</v>
      </c>
      <c r="G64" s="1125">
        <v>249</v>
      </c>
      <c r="H64" s="1126">
        <v>54.60526315789474</v>
      </c>
      <c r="I64" s="1124">
        <v>86</v>
      </c>
      <c r="J64" s="1124">
        <v>86</v>
      </c>
      <c r="K64" s="1124">
        <v>16</v>
      </c>
      <c r="L64" s="1124">
        <v>16</v>
      </c>
      <c r="M64" s="1124">
        <v>42</v>
      </c>
      <c r="N64" s="1124">
        <v>42</v>
      </c>
      <c r="O64" s="1124">
        <v>18</v>
      </c>
      <c r="P64" s="1124">
        <v>18</v>
      </c>
      <c r="Q64" s="1124">
        <v>294</v>
      </c>
      <c r="S64" s="621"/>
    </row>
    <row r="65" spans="1:19" ht="19.5" customHeight="1">
      <c r="A65" s="1123">
        <v>10</v>
      </c>
      <c r="B65" s="1124" t="s">
        <v>1650</v>
      </c>
      <c r="C65" s="1124">
        <v>399</v>
      </c>
      <c r="D65" s="1124">
        <v>177</v>
      </c>
      <c r="E65" s="1125">
        <v>177</v>
      </c>
      <c r="F65" s="1126">
        <v>44.3609022556391</v>
      </c>
      <c r="G65" s="1124">
        <v>177</v>
      </c>
      <c r="H65" s="1126">
        <v>44.3609022556391</v>
      </c>
      <c r="I65" s="1124">
        <v>46</v>
      </c>
      <c r="J65" s="1124">
        <v>46</v>
      </c>
      <c r="K65" s="1124">
        <v>1</v>
      </c>
      <c r="L65" s="1124">
        <v>1</v>
      </c>
      <c r="M65" s="1124">
        <v>136</v>
      </c>
      <c r="N65" s="1124">
        <v>105</v>
      </c>
      <c r="O65" s="1124">
        <v>132</v>
      </c>
      <c r="P65" s="1124">
        <v>18</v>
      </c>
      <c r="Q65" s="1124">
        <v>84</v>
      </c>
      <c r="S65" s="621"/>
    </row>
    <row r="66" spans="1:19" ht="19.5" customHeight="1">
      <c r="A66" s="1123">
        <v>11</v>
      </c>
      <c r="B66" s="1124" t="s">
        <v>1651</v>
      </c>
      <c r="C66" s="1124">
        <v>1323</v>
      </c>
      <c r="D66" s="1124">
        <v>1012</v>
      </c>
      <c r="E66" s="1125">
        <v>1027</v>
      </c>
      <c r="F66" s="1126">
        <v>76.1</v>
      </c>
      <c r="G66" s="1125">
        <v>1030</v>
      </c>
      <c r="H66" s="1126">
        <v>76.1</v>
      </c>
      <c r="I66" s="1124">
        <v>755</v>
      </c>
      <c r="J66" s="1125">
        <v>755</v>
      </c>
      <c r="K66" s="1124">
        <v>24</v>
      </c>
      <c r="L66" s="1124">
        <v>21</v>
      </c>
      <c r="M66" s="1124">
        <v>140</v>
      </c>
      <c r="N66" s="1124">
        <v>127</v>
      </c>
      <c r="O66" s="1124">
        <v>95</v>
      </c>
      <c r="P66" s="1124">
        <v>79</v>
      </c>
      <c r="Q66" s="1124">
        <v>309</v>
      </c>
      <c r="S66" s="621"/>
    </row>
    <row r="67" spans="1:19" ht="19.5" customHeight="1">
      <c r="A67" s="1123">
        <v>12</v>
      </c>
      <c r="B67" s="1124" t="s">
        <v>1652</v>
      </c>
      <c r="C67" s="1124">
        <v>621</v>
      </c>
      <c r="D67" s="1124">
        <v>411</v>
      </c>
      <c r="E67" s="1125">
        <v>435</v>
      </c>
      <c r="F67" s="1126">
        <v>70.04830917874396</v>
      </c>
      <c r="G67" s="1124">
        <v>441</v>
      </c>
      <c r="H67" s="1126">
        <v>71</v>
      </c>
      <c r="I67" s="1124">
        <v>124</v>
      </c>
      <c r="J67" s="1124">
        <v>124</v>
      </c>
      <c r="K67" s="1124">
        <v>8</v>
      </c>
      <c r="L67" s="1124">
        <v>8</v>
      </c>
      <c r="M67" s="1124">
        <v>327</v>
      </c>
      <c r="N67" s="1124">
        <v>299</v>
      </c>
      <c r="O67" s="1124">
        <v>14</v>
      </c>
      <c r="P67" s="1124">
        <v>4</v>
      </c>
      <c r="Q67" s="1124">
        <v>148</v>
      </c>
      <c r="S67" s="621"/>
    </row>
    <row r="68" spans="1:19" ht="19.5" customHeight="1">
      <c r="A68" s="1123">
        <v>13</v>
      </c>
      <c r="B68" s="1124" t="s">
        <v>1653</v>
      </c>
      <c r="C68" s="1124">
        <v>353</v>
      </c>
      <c r="D68" s="1124">
        <v>184</v>
      </c>
      <c r="E68" s="1125">
        <v>246</v>
      </c>
      <c r="F68" s="1126">
        <v>69.68838526912181</v>
      </c>
      <c r="G68" s="1125">
        <v>246</v>
      </c>
      <c r="H68" s="1126">
        <v>69.68838526912181</v>
      </c>
      <c r="I68" s="1124">
        <v>71</v>
      </c>
      <c r="J68" s="1124">
        <v>71</v>
      </c>
      <c r="K68" s="1124">
        <v>5</v>
      </c>
      <c r="L68" s="1124">
        <v>5</v>
      </c>
      <c r="M68" s="1124">
        <v>113</v>
      </c>
      <c r="N68" s="1124">
        <v>78</v>
      </c>
      <c r="O68" s="1124">
        <v>0</v>
      </c>
      <c r="P68" s="1124">
        <v>0</v>
      </c>
      <c r="Q68" s="1124">
        <v>164</v>
      </c>
      <c r="S68" s="621"/>
    </row>
    <row r="69" spans="1:19" ht="19.5" customHeight="1">
      <c r="A69" s="1123">
        <v>14</v>
      </c>
      <c r="B69" s="1124" t="s">
        <v>1654</v>
      </c>
      <c r="C69" s="1124">
        <v>664</v>
      </c>
      <c r="D69" s="1124">
        <v>493</v>
      </c>
      <c r="E69" s="1125">
        <v>472</v>
      </c>
      <c r="F69" s="1126">
        <v>71.8</v>
      </c>
      <c r="G69" s="1125">
        <v>472</v>
      </c>
      <c r="H69" s="1126">
        <v>71.8</v>
      </c>
      <c r="I69" s="1124">
        <v>45</v>
      </c>
      <c r="J69" s="1124">
        <v>45</v>
      </c>
      <c r="K69" s="1124">
        <v>11</v>
      </c>
      <c r="L69" s="1124">
        <v>9</v>
      </c>
      <c r="M69" s="1124">
        <v>87</v>
      </c>
      <c r="N69" s="1124">
        <v>78</v>
      </c>
      <c r="O69" s="1124">
        <v>547</v>
      </c>
      <c r="P69" s="1124">
        <v>325</v>
      </c>
      <c r="Q69" s="1124">
        <v>64</v>
      </c>
      <c r="S69" s="621"/>
    </row>
    <row r="70" spans="1:19" ht="19.5" customHeight="1">
      <c r="A70" s="1123">
        <v>15</v>
      </c>
      <c r="B70" s="1124" t="s">
        <v>1655</v>
      </c>
      <c r="C70" s="1124">
        <v>380</v>
      </c>
      <c r="D70" s="1124">
        <v>280</v>
      </c>
      <c r="E70" s="1125">
        <v>249</v>
      </c>
      <c r="F70" s="1126">
        <v>65.52631578947368</v>
      </c>
      <c r="G70" s="1124">
        <v>241</v>
      </c>
      <c r="H70" s="1124">
        <v>63.4</v>
      </c>
      <c r="I70" s="1124">
        <v>42</v>
      </c>
      <c r="J70" s="1124">
        <v>42</v>
      </c>
      <c r="K70" s="1124">
        <v>5</v>
      </c>
      <c r="L70" s="1124">
        <v>5</v>
      </c>
      <c r="M70" s="1124">
        <v>202</v>
      </c>
      <c r="N70" s="1124">
        <v>193</v>
      </c>
      <c r="O70" s="1124">
        <v>41</v>
      </c>
      <c r="P70" s="1124">
        <v>1</v>
      </c>
      <c r="Q70" s="1124">
        <v>90</v>
      </c>
      <c r="S70" s="621"/>
    </row>
    <row r="71" spans="1:19" ht="19.5" customHeight="1">
      <c r="A71" s="1123">
        <v>16</v>
      </c>
      <c r="B71" s="1124" t="s">
        <v>1656</v>
      </c>
      <c r="C71" s="1124">
        <v>656</v>
      </c>
      <c r="D71" s="1124">
        <v>460</v>
      </c>
      <c r="E71" s="1125">
        <v>455</v>
      </c>
      <c r="F71" s="1126">
        <v>69.35975609756098</v>
      </c>
      <c r="G71" s="1125">
        <v>455</v>
      </c>
      <c r="H71" s="1126">
        <v>69.35975609756098</v>
      </c>
      <c r="I71" s="1124">
        <v>124</v>
      </c>
      <c r="J71" s="1124">
        <v>121</v>
      </c>
      <c r="K71" s="1124">
        <v>2</v>
      </c>
      <c r="L71" s="1124">
        <v>1</v>
      </c>
      <c r="M71" s="1124">
        <v>192</v>
      </c>
      <c r="N71" s="1124">
        <v>174</v>
      </c>
      <c r="O71" s="1124">
        <v>6</v>
      </c>
      <c r="P71" s="1124">
        <v>0</v>
      </c>
      <c r="Q71" s="1124">
        <v>332</v>
      </c>
      <c r="S71" s="621"/>
    </row>
    <row r="72" spans="1:19" ht="19.5" customHeight="1">
      <c r="A72" s="1123">
        <v>17</v>
      </c>
      <c r="B72" s="1124" t="s">
        <v>1657</v>
      </c>
      <c r="C72" s="1124">
        <v>629</v>
      </c>
      <c r="D72" s="1124">
        <v>460</v>
      </c>
      <c r="E72" s="1125">
        <v>448</v>
      </c>
      <c r="F72" s="1126">
        <v>71.2241653418124</v>
      </c>
      <c r="G72" s="1124">
        <v>460</v>
      </c>
      <c r="H72" s="1124">
        <v>73.1</v>
      </c>
      <c r="I72" s="1124">
        <v>20</v>
      </c>
      <c r="J72" s="1124">
        <v>20</v>
      </c>
      <c r="K72" s="1124">
        <v>0</v>
      </c>
      <c r="L72" s="1124">
        <v>0</v>
      </c>
      <c r="M72" s="1124">
        <v>152</v>
      </c>
      <c r="N72" s="1124">
        <v>136</v>
      </c>
      <c r="O72" s="1124">
        <v>285</v>
      </c>
      <c r="P72" s="1124">
        <v>254</v>
      </c>
      <c r="Q72" s="1124">
        <v>172</v>
      </c>
      <c r="S72" s="621"/>
    </row>
    <row r="73" spans="1:19" ht="19.5" customHeight="1">
      <c r="A73" s="1120" t="s">
        <v>353</v>
      </c>
      <c r="B73" s="1122" t="s">
        <v>1658</v>
      </c>
      <c r="C73" s="1122"/>
      <c r="D73" s="1122"/>
      <c r="E73" s="1122"/>
      <c r="F73" s="1122"/>
      <c r="G73" s="1122"/>
      <c r="H73" s="1122"/>
      <c r="I73" s="1122"/>
      <c r="J73" s="1122"/>
      <c r="K73" s="1122"/>
      <c r="L73" s="1122"/>
      <c r="M73" s="1122"/>
      <c r="N73" s="1122"/>
      <c r="O73" s="1122"/>
      <c r="P73" s="1122"/>
      <c r="Q73" s="1122"/>
      <c r="S73" s="621"/>
    </row>
    <row r="74" spans="1:19" ht="19.5" customHeight="1">
      <c r="A74" s="1123">
        <v>1</v>
      </c>
      <c r="B74" s="1124" t="s">
        <v>1659</v>
      </c>
      <c r="C74" s="1124">
        <v>747</v>
      </c>
      <c r="D74" s="1124">
        <v>320</v>
      </c>
      <c r="E74" s="1125">
        <v>316</v>
      </c>
      <c r="F74" s="1126">
        <v>42.302543507362785</v>
      </c>
      <c r="G74" s="1125">
        <v>316</v>
      </c>
      <c r="H74" s="1126">
        <v>42.302543507362785</v>
      </c>
      <c r="I74" s="1124">
        <v>38</v>
      </c>
      <c r="J74" s="1124">
        <v>38</v>
      </c>
      <c r="K74" s="1124">
        <v>2</v>
      </c>
      <c r="L74" s="1124">
        <v>2</v>
      </c>
      <c r="M74" s="1124">
        <v>59</v>
      </c>
      <c r="N74" s="1124">
        <v>59</v>
      </c>
      <c r="O74" s="1124">
        <v>5</v>
      </c>
      <c r="P74" s="1124">
        <v>5</v>
      </c>
      <c r="Q74" s="1124">
        <v>643</v>
      </c>
      <c r="S74" s="621"/>
    </row>
    <row r="75" spans="1:19" ht="19.5" customHeight="1">
      <c r="A75" s="1123">
        <v>2</v>
      </c>
      <c r="B75" s="1124" t="s">
        <v>1660</v>
      </c>
      <c r="C75" s="1124">
        <v>781</v>
      </c>
      <c r="D75" s="1124">
        <v>538</v>
      </c>
      <c r="E75" s="1125">
        <v>531</v>
      </c>
      <c r="F75" s="1126">
        <v>67.98975672215109</v>
      </c>
      <c r="G75" s="1125">
        <v>531</v>
      </c>
      <c r="H75" s="1126">
        <v>67.98975672215109</v>
      </c>
      <c r="I75" s="1124">
        <v>161</v>
      </c>
      <c r="J75" s="1124">
        <v>161</v>
      </c>
      <c r="K75" s="1124">
        <v>15</v>
      </c>
      <c r="L75" s="1124">
        <v>13</v>
      </c>
      <c r="M75" s="1124">
        <v>311</v>
      </c>
      <c r="N75" s="1124">
        <v>294</v>
      </c>
      <c r="O75" s="1124">
        <v>0</v>
      </c>
      <c r="P75" s="1124">
        <v>0</v>
      </c>
      <c r="Q75" s="1124">
        <v>294</v>
      </c>
      <c r="S75" s="621"/>
    </row>
    <row r="76" spans="1:19" ht="19.5" customHeight="1">
      <c r="A76" s="1123">
        <v>3</v>
      </c>
      <c r="B76" s="1124" t="s">
        <v>457</v>
      </c>
      <c r="C76" s="1124">
        <v>581</v>
      </c>
      <c r="D76" s="1124">
        <v>217</v>
      </c>
      <c r="E76" s="1125">
        <v>217</v>
      </c>
      <c r="F76" s="1126">
        <v>37.34939759036145</v>
      </c>
      <c r="G76" s="1124">
        <v>217</v>
      </c>
      <c r="H76" s="1126">
        <v>37.34939759036145</v>
      </c>
      <c r="I76" s="1124">
        <v>173</v>
      </c>
      <c r="J76" s="1124">
        <v>173</v>
      </c>
      <c r="K76" s="1124">
        <v>2</v>
      </c>
      <c r="L76" s="1124">
        <v>2</v>
      </c>
      <c r="M76" s="1124">
        <v>16</v>
      </c>
      <c r="N76" s="1124">
        <v>16</v>
      </c>
      <c r="O76" s="1124">
        <v>29</v>
      </c>
      <c r="P76" s="1124">
        <v>2</v>
      </c>
      <c r="Q76" s="1124">
        <v>361</v>
      </c>
      <c r="S76" s="621"/>
    </row>
    <row r="77" spans="1:19" ht="19.5" customHeight="1">
      <c r="A77" s="1123">
        <v>4</v>
      </c>
      <c r="B77" s="1124" t="s">
        <v>424</v>
      </c>
      <c r="C77" s="1124">
        <v>326</v>
      </c>
      <c r="D77" s="1124">
        <v>227</v>
      </c>
      <c r="E77" s="1125">
        <v>229</v>
      </c>
      <c r="F77" s="1126">
        <v>70.24539877300613</v>
      </c>
      <c r="G77" s="1124">
        <v>227</v>
      </c>
      <c r="H77" s="1124">
        <v>70</v>
      </c>
      <c r="I77" s="1124">
        <v>69</v>
      </c>
      <c r="J77" s="1124">
        <v>69</v>
      </c>
      <c r="K77" s="1124">
        <v>0</v>
      </c>
      <c r="L77" s="1124">
        <v>0</v>
      </c>
      <c r="M77" s="1124">
        <v>191</v>
      </c>
      <c r="N77" s="1124">
        <v>158</v>
      </c>
      <c r="O77" s="1124">
        <v>0</v>
      </c>
      <c r="P77" s="1124">
        <v>0</v>
      </c>
      <c r="Q77" s="1124">
        <v>66</v>
      </c>
      <c r="S77" s="621"/>
    </row>
    <row r="78" spans="1:19" ht="19.5" customHeight="1">
      <c r="A78" s="1123">
        <v>5</v>
      </c>
      <c r="B78" s="1124" t="s">
        <v>1661</v>
      </c>
      <c r="C78" s="1124">
        <v>470</v>
      </c>
      <c r="D78" s="1124">
        <v>327</v>
      </c>
      <c r="E78" s="1125">
        <v>331</v>
      </c>
      <c r="F78" s="1126">
        <v>70.42553191489361</v>
      </c>
      <c r="G78" s="1124">
        <v>327</v>
      </c>
      <c r="H78" s="1124">
        <v>70</v>
      </c>
      <c r="I78" s="1124">
        <v>93</v>
      </c>
      <c r="J78" s="1124">
        <v>93</v>
      </c>
      <c r="K78" s="1124">
        <v>11</v>
      </c>
      <c r="L78" s="1124">
        <v>11</v>
      </c>
      <c r="M78" s="1124">
        <v>185</v>
      </c>
      <c r="N78" s="1124">
        <v>168</v>
      </c>
      <c r="O78" s="1124">
        <v>3</v>
      </c>
      <c r="P78" s="1124">
        <v>3</v>
      </c>
      <c r="Q78" s="1124">
        <v>178</v>
      </c>
      <c r="S78" s="621"/>
    </row>
    <row r="79" spans="1:19" ht="19.5" customHeight="1">
      <c r="A79" s="1123">
        <v>6</v>
      </c>
      <c r="B79" s="1124" t="s">
        <v>1662</v>
      </c>
      <c r="C79" s="1124">
        <v>582</v>
      </c>
      <c r="D79" s="1124">
        <v>327</v>
      </c>
      <c r="E79" s="1125">
        <v>405</v>
      </c>
      <c r="F79" s="1126">
        <v>69.58762886597938</v>
      </c>
      <c r="G79" s="1125">
        <v>405</v>
      </c>
      <c r="H79" s="1126">
        <v>69.58762886597938</v>
      </c>
      <c r="I79" s="1124">
        <v>179</v>
      </c>
      <c r="J79" s="1124">
        <v>179</v>
      </c>
      <c r="K79" s="1124">
        <v>11</v>
      </c>
      <c r="L79" s="1124">
        <v>11</v>
      </c>
      <c r="M79" s="1124">
        <v>73</v>
      </c>
      <c r="N79" s="1124">
        <v>73</v>
      </c>
      <c r="O79" s="1124">
        <v>33</v>
      </c>
      <c r="P79" s="1124">
        <v>25</v>
      </c>
      <c r="Q79" s="1124">
        <v>286</v>
      </c>
      <c r="S79" s="621"/>
    </row>
    <row r="80" spans="1:19" ht="19.5" customHeight="1">
      <c r="A80" s="1123">
        <v>7</v>
      </c>
      <c r="B80" s="1124" t="s">
        <v>1663</v>
      </c>
      <c r="C80" s="1124">
        <v>1726</v>
      </c>
      <c r="D80" s="1124">
        <v>1459</v>
      </c>
      <c r="E80" s="1125">
        <v>1451</v>
      </c>
      <c r="F80" s="1132">
        <v>84.06720741599074</v>
      </c>
      <c r="G80" s="1125">
        <v>1451</v>
      </c>
      <c r="H80" s="1132">
        <v>84.06720741599074</v>
      </c>
      <c r="I80" s="1124">
        <v>1084</v>
      </c>
      <c r="J80" s="1124">
        <v>1084</v>
      </c>
      <c r="K80" s="1124">
        <v>95</v>
      </c>
      <c r="L80" s="1124">
        <v>72</v>
      </c>
      <c r="M80" s="1124">
        <v>130</v>
      </c>
      <c r="N80" s="1124">
        <v>113</v>
      </c>
      <c r="O80" s="1124">
        <v>67</v>
      </c>
      <c r="P80" s="1124">
        <v>46</v>
      </c>
      <c r="Q80" s="1124">
        <v>350</v>
      </c>
      <c r="S80" s="621"/>
    </row>
    <row r="81" spans="1:19" ht="19.5" customHeight="1">
      <c r="A81" s="1123">
        <v>8</v>
      </c>
      <c r="B81" s="1124" t="s">
        <v>1664</v>
      </c>
      <c r="C81" s="1124">
        <v>466</v>
      </c>
      <c r="D81" s="1124">
        <v>369</v>
      </c>
      <c r="E81" s="1125">
        <v>358</v>
      </c>
      <c r="F81" s="1126">
        <v>76.82403433476395</v>
      </c>
      <c r="G81" s="1124">
        <v>369</v>
      </c>
      <c r="H81" s="1126">
        <v>76.82403433476395</v>
      </c>
      <c r="I81" s="1124">
        <v>122</v>
      </c>
      <c r="J81" s="1124">
        <v>122</v>
      </c>
      <c r="K81" s="1124">
        <v>68</v>
      </c>
      <c r="L81" s="1124">
        <v>68</v>
      </c>
      <c r="M81" s="1124">
        <v>68</v>
      </c>
      <c r="N81" s="1124">
        <v>60</v>
      </c>
      <c r="O81" s="1124">
        <v>27</v>
      </c>
      <c r="P81" s="1124">
        <v>16</v>
      </c>
      <c r="Q81" s="1124">
        <v>181</v>
      </c>
      <c r="S81" s="621"/>
    </row>
    <row r="82" spans="1:19" ht="19.5" customHeight="1">
      <c r="A82" s="1123">
        <v>9</v>
      </c>
      <c r="B82" s="1124" t="s">
        <v>1665</v>
      </c>
      <c r="C82" s="1124">
        <v>452</v>
      </c>
      <c r="D82" s="1124">
        <v>298</v>
      </c>
      <c r="E82" s="1125">
        <v>284</v>
      </c>
      <c r="F82" s="1126">
        <v>62.83185840707964</v>
      </c>
      <c r="G82" s="1125">
        <v>284</v>
      </c>
      <c r="H82" s="1126">
        <v>62.83185840707964</v>
      </c>
      <c r="I82" s="1124">
        <v>150</v>
      </c>
      <c r="J82" s="1124">
        <v>150</v>
      </c>
      <c r="K82" s="1124">
        <v>0</v>
      </c>
      <c r="L82" s="1124">
        <v>0</v>
      </c>
      <c r="M82" s="1124">
        <v>16</v>
      </c>
      <c r="N82" s="1124">
        <v>16</v>
      </c>
      <c r="O82" s="1124">
        <v>26</v>
      </c>
      <c r="P82" s="1124">
        <v>26</v>
      </c>
      <c r="Q82" s="1124">
        <v>260</v>
      </c>
      <c r="S82" s="621"/>
    </row>
    <row r="83" spans="1:19" ht="19.5" customHeight="1">
      <c r="A83" s="1123">
        <v>10</v>
      </c>
      <c r="B83" s="1124" t="s">
        <v>1666</v>
      </c>
      <c r="C83" s="1124">
        <v>366</v>
      </c>
      <c r="D83" s="1124">
        <v>258</v>
      </c>
      <c r="E83" s="1125">
        <v>241</v>
      </c>
      <c r="F83" s="1126">
        <v>65.84699453551913</v>
      </c>
      <c r="G83" s="1125">
        <v>241</v>
      </c>
      <c r="H83" s="1126">
        <v>65.84699453551913</v>
      </c>
      <c r="I83" s="1124">
        <v>113</v>
      </c>
      <c r="J83" s="1124">
        <v>113</v>
      </c>
      <c r="K83" s="1124">
        <v>2</v>
      </c>
      <c r="L83" s="1124">
        <v>2</v>
      </c>
      <c r="M83" s="1124">
        <v>23</v>
      </c>
      <c r="N83" s="1124">
        <v>23</v>
      </c>
      <c r="O83" s="1124">
        <v>1</v>
      </c>
      <c r="P83" s="1124">
        <v>1</v>
      </c>
      <c r="Q83" s="1124">
        <v>227</v>
      </c>
      <c r="S83" s="621"/>
    </row>
    <row r="84" spans="1:19" ht="19.5" customHeight="1">
      <c r="A84" s="1123">
        <v>11</v>
      </c>
      <c r="B84" s="1124" t="s">
        <v>1667</v>
      </c>
      <c r="C84" s="1124">
        <v>648</v>
      </c>
      <c r="D84" s="1124">
        <v>384</v>
      </c>
      <c r="E84" s="1125">
        <v>384</v>
      </c>
      <c r="F84" s="1125">
        <v>60</v>
      </c>
      <c r="G84" s="1125">
        <v>383</v>
      </c>
      <c r="H84" s="1124">
        <v>60</v>
      </c>
      <c r="I84" s="1124">
        <v>132</v>
      </c>
      <c r="J84" s="1124">
        <v>132</v>
      </c>
      <c r="K84" s="1124">
        <v>20</v>
      </c>
      <c r="L84" s="1124">
        <v>19</v>
      </c>
      <c r="M84" s="1124">
        <v>161</v>
      </c>
      <c r="N84" s="1124">
        <v>158</v>
      </c>
      <c r="O84" s="1124">
        <v>16</v>
      </c>
      <c r="P84" s="1124">
        <v>16</v>
      </c>
      <c r="Q84" s="1124">
        <v>319</v>
      </c>
      <c r="S84" s="621"/>
    </row>
    <row r="85" spans="1:19" ht="19.5" customHeight="1">
      <c r="A85" s="1123">
        <v>12</v>
      </c>
      <c r="B85" s="1124" t="s">
        <v>1668</v>
      </c>
      <c r="C85" s="1124">
        <v>520</v>
      </c>
      <c r="D85" s="1124">
        <v>179</v>
      </c>
      <c r="E85" s="1125">
        <v>178</v>
      </c>
      <c r="F85" s="1126">
        <v>34.23076923076923</v>
      </c>
      <c r="G85" s="1124">
        <v>179</v>
      </c>
      <c r="H85" s="1124">
        <v>34</v>
      </c>
      <c r="I85" s="1124">
        <v>114</v>
      </c>
      <c r="J85" s="1124">
        <v>113</v>
      </c>
      <c r="K85" s="1124">
        <v>15</v>
      </c>
      <c r="L85" s="1124">
        <v>13</v>
      </c>
      <c r="M85" s="1124">
        <v>64</v>
      </c>
      <c r="N85" s="1124">
        <v>45</v>
      </c>
      <c r="O85" s="1124">
        <v>9</v>
      </c>
      <c r="P85" s="1124">
        <v>7</v>
      </c>
      <c r="Q85" s="1124">
        <v>318</v>
      </c>
      <c r="S85" s="621"/>
    </row>
    <row r="86" spans="1:19" ht="19.5" customHeight="1">
      <c r="A86" s="1123">
        <v>13</v>
      </c>
      <c r="B86" s="1128" t="s">
        <v>1669</v>
      </c>
      <c r="C86" s="1128">
        <v>397</v>
      </c>
      <c r="D86" s="1124">
        <v>320</v>
      </c>
      <c r="E86" s="1125">
        <v>321</v>
      </c>
      <c r="F86" s="1125">
        <v>80.85642317380352</v>
      </c>
      <c r="G86" s="1125">
        <v>321</v>
      </c>
      <c r="H86" s="1126">
        <v>80.85642317380352</v>
      </c>
      <c r="I86" s="1124">
        <v>26</v>
      </c>
      <c r="J86" s="1124">
        <v>26</v>
      </c>
      <c r="K86" s="1124">
        <v>1</v>
      </c>
      <c r="L86" s="1124">
        <v>1</v>
      </c>
      <c r="M86" s="1124">
        <v>309</v>
      </c>
      <c r="N86" s="1124">
        <v>287</v>
      </c>
      <c r="O86" s="1124">
        <v>0</v>
      </c>
      <c r="P86" s="1124">
        <v>0</v>
      </c>
      <c r="Q86" s="1124">
        <v>61</v>
      </c>
      <c r="S86" s="621"/>
    </row>
    <row r="87" spans="1:19" ht="19.5" customHeight="1">
      <c r="A87" s="1123">
        <v>14</v>
      </c>
      <c r="B87" s="1124" t="s">
        <v>1670</v>
      </c>
      <c r="C87" s="1124">
        <v>752</v>
      </c>
      <c r="D87" s="1124">
        <v>644</v>
      </c>
      <c r="E87" s="1125">
        <v>628</v>
      </c>
      <c r="F87" s="1126">
        <v>83.51063829787235</v>
      </c>
      <c r="G87" s="1125">
        <v>628</v>
      </c>
      <c r="H87" s="1124">
        <v>86</v>
      </c>
      <c r="I87" s="1124">
        <v>107</v>
      </c>
      <c r="J87" s="1124">
        <v>107</v>
      </c>
      <c r="K87" s="1124">
        <v>0</v>
      </c>
      <c r="L87" s="1124">
        <v>0</v>
      </c>
      <c r="M87" s="1124">
        <v>321</v>
      </c>
      <c r="N87" s="1124">
        <v>314</v>
      </c>
      <c r="O87" s="1124">
        <v>41</v>
      </c>
      <c r="P87" s="1124">
        <v>40</v>
      </c>
      <c r="Q87" s="1124">
        <v>283</v>
      </c>
      <c r="S87" s="621"/>
    </row>
    <row r="88" spans="1:19" ht="19.5" customHeight="1">
      <c r="A88" s="1123">
        <v>15</v>
      </c>
      <c r="B88" s="1124" t="s">
        <v>1671</v>
      </c>
      <c r="C88" s="1124">
        <v>555</v>
      </c>
      <c r="D88" s="1124">
        <v>296</v>
      </c>
      <c r="E88" s="1125">
        <v>289</v>
      </c>
      <c r="F88" s="1125">
        <v>52.072072072072075</v>
      </c>
      <c r="G88" s="1124">
        <v>288</v>
      </c>
      <c r="H88" s="1124">
        <v>52</v>
      </c>
      <c r="I88" s="1124">
        <v>89</v>
      </c>
      <c r="J88" s="1124">
        <v>89</v>
      </c>
      <c r="K88" s="1124">
        <v>1</v>
      </c>
      <c r="L88" s="1124">
        <v>1</v>
      </c>
      <c r="M88" s="1124">
        <v>196</v>
      </c>
      <c r="N88" s="1124">
        <v>169</v>
      </c>
      <c r="O88" s="1124">
        <v>5</v>
      </c>
      <c r="P88" s="1124">
        <v>5</v>
      </c>
      <c r="Q88" s="1124">
        <v>264</v>
      </c>
      <c r="S88" s="621"/>
    </row>
    <row r="89" spans="1:19" ht="19.5" customHeight="1">
      <c r="A89" s="1123">
        <v>16</v>
      </c>
      <c r="B89" s="1124" t="s">
        <v>1672</v>
      </c>
      <c r="C89" s="1124">
        <v>392</v>
      </c>
      <c r="D89" s="1124">
        <v>258</v>
      </c>
      <c r="E89" s="1125">
        <v>255</v>
      </c>
      <c r="F89" s="1126">
        <v>65.05102040816327</v>
      </c>
      <c r="G89" s="1125">
        <v>255</v>
      </c>
      <c r="H89" s="1124">
        <v>65</v>
      </c>
      <c r="I89" s="1124">
        <v>62</v>
      </c>
      <c r="J89" s="1124">
        <v>62</v>
      </c>
      <c r="K89" s="1124">
        <v>4</v>
      </c>
      <c r="L89" s="1124">
        <v>3</v>
      </c>
      <c r="M89" s="1124">
        <v>124</v>
      </c>
      <c r="N89" s="1124">
        <v>116</v>
      </c>
      <c r="O89" s="1124">
        <v>24</v>
      </c>
      <c r="P89" s="1124">
        <v>21</v>
      </c>
      <c r="Q89" s="1124">
        <v>178</v>
      </c>
      <c r="S89" s="621"/>
    </row>
    <row r="90" spans="1:19" ht="19.5" customHeight="1">
      <c r="A90" s="1123">
        <v>17</v>
      </c>
      <c r="B90" s="1124" t="s">
        <v>1673</v>
      </c>
      <c r="C90" s="1124">
        <v>514</v>
      </c>
      <c r="D90" s="1124">
        <v>340</v>
      </c>
      <c r="E90" s="1125">
        <v>339</v>
      </c>
      <c r="F90" s="1125">
        <v>65.95330739299611</v>
      </c>
      <c r="G90" s="1125">
        <v>339</v>
      </c>
      <c r="H90" s="1124">
        <v>66</v>
      </c>
      <c r="I90" s="1124">
        <v>107</v>
      </c>
      <c r="J90" s="1124">
        <v>107</v>
      </c>
      <c r="K90" s="1124">
        <v>18</v>
      </c>
      <c r="L90" s="1124">
        <v>18</v>
      </c>
      <c r="M90" s="1124">
        <v>185</v>
      </c>
      <c r="N90" s="1124">
        <v>183</v>
      </c>
      <c r="O90" s="1124">
        <v>0</v>
      </c>
      <c r="P90" s="1124">
        <v>0</v>
      </c>
      <c r="Q90" s="1124">
        <v>204</v>
      </c>
      <c r="S90" s="621"/>
    </row>
    <row r="91" spans="1:19" ht="19.5" customHeight="1">
      <c r="A91" s="1123">
        <v>18</v>
      </c>
      <c r="B91" s="1124" t="s">
        <v>1674</v>
      </c>
      <c r="C91" s="1124">
        <v>947</v>
      </c>
      <c r="D91" s="1124">
        <v>732</v>
      </c>
      <c r="E91" s="1125">
        <v>716</v>
      </c>
      <c r="F91" s="1125">
        <v>75</v>
      </c>
      <c r="G91" s="1125">
        <v>716</v>
      </c>
      <c r="H91" s="1124">
        <v>75</v>
      </c>
      <c r="I91" s="1124">
        <v>164</v>
      </c>
      <c r="J91" s="1124">
        <v>164</v>
      </c>
      <c r="K91" s="1124">
        <v>21</v>
      </c>
      <c r="L91" s="1124">
        <v>18</v>
      </c>
      <c r="M91" s="1124">
        <v>510</v>
      </c>
      <c r="N91" s="1124">
        <v>447</v>
      </c>
      <c r="O91" s="1124">
        <v>19</v>
      </c>
      <c r="P91" s="1124">
        <v>4</v>
      </c>
      <c r="Q91" s="1124">
        <v>233</v>
      </c>
      <c r="S91" s="621"/>
    </row>
    <row r="92" spans="1:19" ht="19.5" customHeight="1">
      <c r="A92" s="1123">
        <v>19</v>
      </c>
      <c r="B92" s="1124" t="s">
        <v>1675</v>
      </c>
      <c r="C92" s="1124">
        <v>883</v>
      </c>
      <c r="D92" s="1124">
        <v>650</v>
      </c>
      <c r="E92" s="1125">
        <v>428</v>
      </c>
      <c r="F92" s="1126">
        <v>48.47112117780294</v>
      </c>
      <c r="G92" s="1125">
        <v>428</v>
      </c>
      <c r="H92" s="1126">
        <v>48.47112117780294</v>
      </c>
      <c r="I92" s="1124">
        <v>262</v>
      </c>
      <c r="J92" s="1124">
        <v>262</v>
      </c>
      <c r="K92" s="1124">
        <v>25</v>
      </c>
      <c r="L92" s="1124">
        <v>23</v>
      </c>
      <c r="M92" s="1124">
        <v>147</v>
      </c>
      <c r="N92" s="1124">
        <v>133</v>
      </c>
      <c r="O92" s="1124">
        <v>13</v>
      </c>
      <c r="P92" s="1124">
        <v>10</v>
      </c>
      <c r="Q92" s="1124">
        <v>436</v>
      </c>
      <c r="S92" s="621"/>
    </row>
    <row r="93" spans="1:19" ht="19.5" customHeight="1">
      <c r="A93" s="1123">
        <v>20</v>
      </c>
      <c r="B93" s="1124" t="s">
        <v>1676</v>
      </c>
      <c r="C93" s="1124">
        <v>569</v>
      </c>
      <c r="D93" s="1124">
        <v>350</v>
      </c>
      <c r="E93" s="1125">
        <v>324</v>
      </c>
      <c r="F93" s="1126">
        <v>56.94200351493849</v>
      </c>
      <c r="G93" s="1125">
        <v>324</v>
      </c>
      <c r="H93" s="1126">
        <v>56.94200351493849</v>
      </c>
      <c r="I93" s="1124">
        <v>84</v>
      </c>
      <c r="J93" s="1124">
        <v>84</v>
      </c>
      <c r="K93" s="1124">
        <v>62</v>
      </c>
      <c r="L93" s="1124">
        <v>62</v>
      </c>
      <c r="M93" s="1124">
        <v>153</v>
      </c>
      <c r="N93" s="1124">
        <v>153</v>
      </c>
      <c r="O93" s="1124">
        <v>43</v>
      </c>
      <c r="P93" s="1124">
        <v>25</v>
      </c>
      <c r="Q93" s="1124">
        <v>227</v>
      </c>
      <c r="S93" s="621"/>
    </row>
    <row r="94" spans="1:19" ht="19.5" customHeight="1">
      <c r="A94" s="1120" t="s">
        <v>369</v>
      </c>
      <c r="B94" s="1122" t="s">
        <v>1677</v>
      </c>
      <c r="C94" s="1122"/>
      <c r="D94" s="1122"/>
      <c r="E94" s="1122"/>
      <c r="F94" s="1122"/>
      <c r="G94" s="1122"/>
      <c r="H94" s="1122"/>
      <c r="I94" s="1122"/>
      <c r="J94" s="1122"/>
      <c r="K94" s="1122"/>
      <c r="L94" s="1122"/>
      <c r="M94" s="1122"/>
      <c r="N94" s="1122"/>
      <c r="O94" s="1122"/>
      <c r="P94" s="1122"/>
      <c r="Q94" s="1122"/>
      <c r="S94" s="621"/>
    </row>
    <row r="95" spans="1:19" ht="19.5" customHeight="1">
      <c r="A95" s="1123">
        <v>1</v>
      </c>
      <c r="B95" s="1124" t="s">
        <v>1678</v>
      </c>
      <c r="C95" s="1124">
        <v>1015</v>
      </c>
      <c r="D95" s="1124">
        <v>853</v>
      </c>
      <c r="E95" s="1125">
        <v>721</v>
      </c>
      <c r="F95" s="1126">
        <v>70.7</v>
      </c>
      <c r="G95" s="1125">
        <v>721</v>
      </c>
      <c r="H95" s="1126">
        <v>70.4</v>
      </c>
      <c r="I95" s="1124">
        <v>237</v>
      </c>
      <c r="J95" s="1124">
        <v>237</v>
      </c>
      <c r="K95" s="1124">
        <v>25</v>
      </c>
      <c r="L95" s="1124">
        <v>22</v>
      </c>
      <c r="M95" s="1124">
        <v>945</v>
      </c>
      <c r="N95" s="1124">
        <v>406</v>
      </c>
      <c r="O95" s="1124">
        <v>20</v>
      </c>
      <c r="P95" s="1124">
        <v>4</v>
      </c>
      <c r="Q95" s="1124">
        <v>238</v>
      </c>
      <c r="S95" s="621"/>
    </row>
    <row r="96" spans="1:19" ht="19.5" customHeight="1">
      <c r="A96" s="1123">
        <v>2</v>
      </c>
      <c r="B96" s="1124" t="s">
        <v>1679</v>
      </c>
      <c r="C96" s="1124">
        <v>730</v>
      </c>
      <c r="D96" s="1124">
        <v>320</v>
      </c>
      <c r="E96" s="1125">
        <v>317</v>
      </c>
      <c r="F96" s="1126">
        <v>43.42465753424658</v>
      </c>
      <c r="G96" s="1125">
        <v>317</v>
      </c>
      <c r="H96" s="1126">
        <v>43.42465753424658</v>
      </c>
      <c r="I96" s="1124">
        <v>119</v>
      </c>
      <c r="J96" s="1124">
        <v>119</v>
      </c>
      <c r="K96" s="1124">
        <v>3</v>
      </c>
      <c r="L96" s="1124">
        <v>3</v>
      </c>
      <c r="M96" s="1124">
        <v>78</v>
      </c>
      <c r="N96" s="1124">
        <v>60</v>
      </c>
      <c r="O96" s="1124">
        <v>83</v>
      </c>
      <c r="P96" s="1124">
        <v>40</v>
      </c>
      <c r="Q96" s="1124">
        <v>447</v>
      </c>
      <c r="S96" s="621"/>
    </row>
    <row r="97" spans="1:19" ht="19.5" customHeight="1">
      <c r="A97" s="1123">
        <v>3</v>
      </c>
      <c r="B97" s="1124" t="s">
        <v>1680</v>
      </c>
      <c r="C97" s="1124">
        <v>360</v>
      </c>
      <c r="D97" s="1124">
        <v>187</v>
      </c>
      <c r="E97" s="1125">
        <v>185</v>
      </c>
      <c r="F97" s="1126">
        <v>51.388888888888886</v>
      </c>
      <c r="G97" s="1125">
        <v>185</v>
      </c>
      <c r="H97" s="1126">
        <v>51.388888888888886</v>
      </c>
      <c r="I97" s="1124">
        <v>49</v>
      </c>
      <c r="J97" s="1124">
        <v>49</v>
      </c>
      <c r="K97" s="1124">
        <v>65</v>
      </c>
      <c r="L97" s="1124">
        <v>65</v>
      </c>
      <c r="M97" s="1124">
        <v>22</v>
      </c>
      <c r="N97" s="1124">
        <v>17</v>
      </c>
      <c r="O97" s="1124">
        <v>193</v>
      </c>
      <c r="P97" s="1124">
        <v>54</v>
      </c>
      <c r="Q97" s="1124">
        <v>31</v>
      </c>
      <c r="S97" s="621"/>
    </row>
    <row r="98" spans="1:19" ht="19.5" customHeight="1">
      <c r="A98" s="1123">
        <v>4</v>
      </c>
      <c r="B98" s="1124" t="s">
        <v>1681</v>
      </c>
      <c r="C98" s="1124">
        <v>606</v>
      </c>
      <c r="D98" s="1124">
        <v>354</v>
      </c>
      <c r="E98" s="1125">
        <v>346</v>
      </c>
      <c r="F98" s="1126">
        <v>57.0957095709571</v>
      </c>
      <c r="G98" s="1125">
        <v>346</v>
      </c>
      <c r="H98" s="1126">
        <v>57.0957095709571</v>
      </c>
      <c r="I98" s="1124">
        <v>67</v>
      </c>
      <c r="J98" s="1124">
        <v>67</v>
      </c>
      <c r="K98" s="1124">
        <v>22</v>
      </c>
      <c r="L98" s="1124">
        <v>22</v>
      </c>
      <c r="M98" s="1124">
        <v>102</v>
      </c>
      <c r="N98" s="1124">
        <v>102</v>
      </c>
      <c r="O98" s="1124">
        <v>129</v>
      </c>
      <c r="P98" s="1124">
        <v>60</v>
      </c>
      <c r="Q98" s="1124">
        <v>286</v>
      </c>
      <c r="S98" s="621"/>
    </row>
    <row r="99" spans="1:19" ht="19.5" customHeight="1">
      <c r="A99" s="1123">
        <v>5</v>
      </c>
      <c r="B99" s="1124" t="s">
        <v>1682</v>
      </c>
      <c r="C99" s="1124">
        <v>972</v>
      </c>
      <c r="D99" s="1124">
        <v>642</v>
      </c>
      <c r="E99" s="1125">
        <v>614</v>
      </c>
      <c r="F99" s="1126">
        <v>63.16872427983539</v>
      </c>
      <c r="G99" s="1125">
        <v>614</v>
      </c>
      <c r="H99" s="1126">
        <v>63.16872427983539</v>
      </c>
      <c r="I99" s="1124">
        <v>128</v>
      </c>
      <c r="J99" s="1124">
        <v>128</v>
      </c>
      <c r="K99" s="1124">
        <v>19</v>
      </c>
      <c r="L99" s="1124">
        <v>19</v>
      </c>
      <c r="M99" s="1124">
        <v>273</v>
      </c>
      <c r="N99" s="1124">
        <v>263</v>
      </c>
      <c r="O99" s="1124">
        <v>22</v>
      </c>
      <c r="P99" s="1124">
        <v>22</v>
      </c>
      <c r="Q99" s="1124">
        <v>530</v>
      </c>
      <c r="S99" s="621"/>
    </row>
    <row r="100" spans="1:19" ht="19.5" customHeight="1">
      <c r="A100" s="1123">
        <v>6</v>
      </c>
      <c r="B100" s="1124" t="s">
        <v>1683</v>
      </c>
      <c r="C100" s="1124">
        <v>681</v>
      </c>
      <c r="D100" s="1124">
        <v>480</v>
      </c>
      <c r="E100" s="1125">
        <v>473</v>
      </c>
      <c r="F100" s="1126">
        <v>69.45668135095448</v>
      </c>
      <c r="G100" s="1124">
        <v>249</v>
      </c>
      <c r="H100" s="1124">
        <v>36.6</v>
      </c>
      <c r="I100" s="1124">
        <v>137</v>
      </c>
      <c r="J100" s="1124">
        <v>137</v>
      </c>
      <c r="K100" s="1124">
        <v>77</v>
      </c>
      <c r="L100" s="1124">
        <v>77</v>
      </c>
      <c r="M100" s="1124">
        <v>328</v>
      </c>
      <c r="N100" s="1124">
        <v>229</v>
      </c>
      <c r="O100" s="1124">
        <v>1</v>
      </c>
      <c r="P100" s="1124">
        <v>1</v>
      </c>
      <c r="Q100" s="1124">
        <v>138</v>
      </c>
      <c r="S100" s="621"/>
    </row>
    <row r="101" spans="1:19" ht="19.5" customHeight="1">
      <c r="A101" s="1123">
        <v>7</v>
      </c>
      <c r="B101" s="1128" t="s">
        <v>1684</v>
      </c>
      <c r="C101" s="1128">
        <v>430</v>
      </c>
      <c r="D101" s="1128">
        <v>290</v>
      </c>
      <c r="E101" s="1128">
        <v>290</v>
      </c>
      <c r="F101" s="1130">
        <v>67.44186046511628</v>
      </c>
      <c r="G101" s="1128">
        <v>290</v>
      </c>
      <c r="H101" s="1128">
        <v>67.4</v>
      </c>
      <c r="I101" s="1128">
        <v>116</v>
      </c>
      <c r="J101" s="1128">
        <v>114</v>
      </c>
      <c r="K101" s="1128">
        <v>8</v>
      </c>
      <c r="L101" s="1128">
        <v>8</v>
      </c>
      <c r="M101" s="1128">
        <v>153</v>
      </c>
      <c r="N101" s="1128">
        <v>148</v>
      </c>
      <c r="O101" s="1128">
        <v>22</v>
      </c>
      <c r="P101" s="1128">
        <v>20</v>
      </c>
      <c r="Q101" s="1128">
        <v>131</v>
      </c>
      <c r="S101" s="621"/>
    </row>
    <row r="102" spans="1:19" ht="19.5" customHeight="1">
      <c r="A102" s="1123">
        <v>8</v>
      </c>
      <c r="B102" s="1124" t="s">
        <v>1685</v>
      </c>
      <c r="C102" s="1124">
        <v>432</v>
      </c>
      <c r="D102" s="1124">
        <v>220</v>
      </c>
      <c r="E102" s="1125">
        <v>211</v>
      </c>
      <c r="F102" s="1126">
        <v>48.842592592592595</v>
      </c>
      <c r="G102" s="1125">
        <v>211</v>
      </c>
      <c r="H102" s="1126">
        <v>48.842592592592595</v>
      </c>
      <c r="I102" s="1124">
        <v>51</v>
      </c>
      <c r="J102" s="1124">
        <v>51</v>
      </c>
      <c r="K102" s="1124">
        <v>6</v>
      </c>
      <c r="L102" s="1124">
        <v>6</v>
      </c>
      <c r="M102" s="1124">
        <v>140</v>
      </c>
      <c r="N102" s="1124">
        <v>140</v>
      </c>
      <c r="O102" s="1124">
        <v>9</v>
      </c>
      <c r="P102" s="1124">
        <v>9</v>
      </c>
      <c r="Q102" s="1124">
        <v>226</v>
      </c>
      <c r="S102" s="621"/>
    </row>
    <row r="103" spans="1:19" ht="19.5" customHeight="1">
      <c r="A103" s="1123">
        <v>9</v>
      </c>
      <c r="B103" s="1124" t="s">
        <v>1686</v>
      </c>
      <c r="C103" s="1124">
        <v>1511</v>
      </c>
      <c r="D103" s="1124">
        <v>1359</v>
      </c>
      <c r="E103" s="1125">
        <v>1359</v>
      </c>
      <c r="F103" s="1126">
        <v>90</v>
      </c>
      <c r="G103" s="1125">
        <v>1134</v>
      </c>
      <c r="H103" s="1126">
        <v>75</v>
      </c>
      <c r="I103" s="1124">
        <v>829</v>
      </c>
      <c r="J103" s="1124">
        <v>829</v>
      </c>
      <c r="K103" s="1124">
        <v>9</v>
      </c>
      <c r="L103" s="1124">
        <v>5</v>
      </c>
      <c r="M103" s="1124">
        <v>387</v>
      </c>
      <c r="N103" s="1124">
        <v>256</v>
      </c>
      <c r="O103" s="1124">
        <v>9</v>
      </c>
      <c r="P103" s="1124">
        <v>1</v>
      </c>
      <c r="Q103" s="1124">
        <v>158</v>
      </c>
      <c r="S103" s="621"/>
    </row>
    <row r="104" spans="1:19" ht="19.5" customHeight="1">
      <c r="A104" s="1123">
        <v>10</v>
      </c>
      <c r="B104" s="1124" t="s">
        <v>1687</v>
      </c>
      <c r="C104" s="1124">
        <v>1006</v>
      </c>
      <c r="D104" s="1124">
        <v>560</v>
      </c>
      <c r="E104" s="1125">
        <v>544</v>
      </c>
      <c r="F104" s="1126">
        <v>54.07554671968191</v>
      </c>
      <c r="G104" s="1124">
        <v>448</v>
      </c>
      <c r="H104" s="1124">
        <v>44.5</v>
      </c>
      <c r="I104" s="1124">
        <v>240</v>
      </c>
      <c r="J104" s="1124">
        <v>240</v>
      </c>
      <c r="K104" s="1124">
        <v>13</v>
      </c>
      <c r="L104" s="1124">
        <v>10</v>
      </c>
      <c r="M104" s="1124">
        <v>236</v>
      </c>
      <c r="N104" s="1124">
        <v>158</v>
      </c>
      <c r="O104" s="1124">
        <v>61</v>
      </c>
      <c r="P104" s="1124">
        <v>40</v>
      </c>
      <c r="Q104" s="1124">
        <v>456</v>
      </c>
      <c r="S104" s="621"/>
    </row>
    <row r="105" spans="1:19" ht="19.5" customHeight="1">
      <c r="A105" s="1123">
        <v>11</v>
      </c>
      <c r="B105" s="1124" t="s">
        <v>1688</v>
      </c>
      <c r="C105" s="1124">
        <v>333</v>
      </c>
      <c r="D105" s="1124">
        <v>223</v>
      </c>
      <c r="E105" s="1125">
        <v>223</v>
      </c>
      <c r="F105" s="1125">
        <v>66.96696696696696</v>
      </c>
      <c r="G105" s="1124">
        <v>223</v>
      </c>
      <c r="H105" s="1124">
        <v>67</v>
      </c>
      <c r="I105" s="1124">
        <v>100</v>
      </c>
      <c r="J105" s="1124">
        <v>100</v>
      </c>
      <c r="K105" s="1124">
        <v>1</v>
      </c>
      <c r="L105" s="1124">
        <v>1</v>
      </c>
      <c r="M105" s="1124">
        <v>92</v>
      </c>
      <c r="N105" s="1124">
        <v>88</v>
      </c>
      <c r="O105" s="1124">
        <v>100</v>
      </c>
      <c r="P105" s="1124">
        <v>34</v>
      </c>
      <c r="Q105" s="1124">
        <v>40</v>
      </c>
      <c r="S105" s="621"/>
    </row>
    <row r="106" spans="1:19" ht="19.5" customHeight="1">
      <c r="A106" s="1123">
        <v>12</v>
      </c>
      <c r="B106" s="1124" t="s">
        <v>1689</v>
      </c>
      <c r="C106" s="1124">
        <v>590</v>
      </c>
      <c r="D106" s="1124">
        <v>350</v>
      </c>
      <c r="E106" s="1125">
        <v>395</v>
      </c>
      <c r="F106" s="1125">
        <v>66.94915254237289</v>
      </c>
      <c r="G106" s="1125">
        <v>395</v>
      </c>
      <c r="H106" s="1125">
        <v>66.94915254237289</v>
      </c>
      <c r="I106" s="1124">
        <v>53</v>
      </c>
      <c r="J106" s="1124">
        <v>53</v>
      </c>
      <c r="K106" s="1124">
        <v>9</v>
      </c>
      <c r="L106" s="1124">
        <v>9</v>
      </c>
      <c r="M106" s="1124">
        <v>228</v>
      </c>
      <c r="N106" s="1124">
        <v>198</v>
      </c>
      <c r="O106" s="1124">
        <v>18</v>
      </c>
      <c r="P106" s="1124">
        <v>5</v>
      </c>
      <c r="Q106" s="1124">
        <v>281</v>
      </c>
      <c r="S106" s="621"/>
    </row>
    <row r="107" spans="1:19" ht="19.5" customHeight="1">
      <c r="A107" s="1123">
        <v>13</v>
      </c>
      <c r="B107" s="1124" t="s">
        <v>1690</v>
      </c>
      <c r="C107" s="1124">
        <v>756</v>
      </c>
      <c r="D107" s="1124">
        <v>341</v>
      </c>
      <c r="E107" s="1125">
        <v>336</v>
      </c>
      <c r="F107" s="1126">
        <v>44.44444444444444</v>
      </c>
      <c r="G107" s="1125">
        <v>336</v>
      </c>
      <c r="H107" s="1126">
        <v>44.44444444444444</v>
      </c>
      <c r="I107" s="1124">
        <v>199</v>
      </c>
      <c r="J107" s="1124">
        <v>199</v>
      </c>
      <c r="K107" s="1124">
        <v>11</v>
      </c>
      <c r="L107" s="1124">
        <v>8</v>
      </c>
      <c r="M107" s="1124">
        <v>76</v>
      </c>
      <c r="N107" s="1124">
        <v>67</v>
      </c>
      <c r="O107" s="1124">
        <v>121</v>
      </c>
      <c r="P107" s="1124">
        <v>58</v>
      </c>
      <c r="Q107" s="1124">
        <v>349</v>
      </c>
      <c r="S107" s="621"/>
    </row>
    <row r="108" spans="1:19" ht="19.5" customHeight="1">
      <c r="A108" s="1123">
        <v>14</v>
      </c>
      <c r="B108" s="1124" t="s">
        <v>1691</v>
      </c>
      <c r="C108" s="1124">
        <v>664</v>
      </c>
      <c r="D108" s="1124">
        <v>342</v>
      </c>
      <c r="E108" s="1125">
        <v>327</v>
      </c>
      <c r="F108" s="1126">
        <v>49.24698795180723</v>
      </c>
      <c r="G108" s="1124">
        <v>342</v>
      </c>
      <c r="H108" s="1124">
        <v>51.5</v>
      </c>
      <c r="I108" s="1124">
        <v>147</v>
      </c>
      <c r="J108" s="1124">
        <v>147</v>
      </c>
      <c r="K108" s="1124">
        <v>0</v>
      </c>
      <c r="L108" s="1124">
        <v>0</v>
      </c>
      <c r="M108" s="1124">
        <v>157</v>
      </c>
      <c r="N108" s="1124">
        <v>120</v>
      </c>
      <c r="O108" s="1124">
        <v>61</v>
      </c>
      <c r="P108" s="1124">
        <v>30</v>
      </c>
      <c r="Q108" s="1124">
        <v>299</v>
      </c>
      <c r="S108" s="621"/>
    </row>
    <row r="109" spans="1:19" ht="19.5" customHeight="1">
      <c r="A109" s="1120" t="s">
        <v>388</v>
      </c>
      <c r="B109" s="1122" t="s">
        <v>1692</v>
      </c>
      <c r="C109" s="1122"/>
      <c r="D109" s="1122"/>
      <c r="E109" s="1122"/>
      <c r="F109" s="1122"/>
      <c r="G109" s="1122"/>
      <c r="H109" s="1122"/>
      <c r="I109" s="1122"/>
      <c r="J109" s="1122"/>
      <c r="K109" s="1122"/>
      <c r="L109" s="1122"/>
      <c r="M109" s="1122"/>
      <c r="N109" s="1122"/>
      <c r="O109" s="1122"/>
      <c r="P109" s="1122"/>
      <c r="Q109" s="1122"/>
      <c r="S109" s="621"/>
    </row>
    <row r="110" spans="1:19" ht="19.5" customHeight="1">
      <c r="A110" s="1123">
        <v>1</v>
      </c>
      <c r="B110" s="1124" t="s">
        <v>1693</v>
      </c>
      <c r="C110" s="1124">
        <v>204</v>
      </c>
      <c r="D110" s="1124">
        <v>104</v>
      </c>
      <c r="E110" s="1125">
        <v>69</v>
      </c>
      <c r="F110" s="1126">
        <v>33.8235294117647</v>
      </c>
      <c r="G110" s="1125">
        <v>69</v>
      </c>
      <c r="H110" s="1126">
        <v>33.8235294117647</v>
      </c>
      <c r="I110" s="1124">
        <v>4</v>
      </c>
      <c r="J110" s="1124">
        <v>4</v>
      </c>
      <c r="K110" s="1124">
        <v>0</v>
      </c>
      <c r="L110" s="1124">
        <v>0</v>
      </c>
      <c r="M110" s="1124">
        <v>56</v>
      </c>
      <c r="N110" s="1124">
        <v>44</v>
      </c>
      <c r="O110" s="1124">
        <v>44</v>
      </c>
      <c r="P110" s="1124">
        <v>21</v>
      </c>
      <c r="Q110" s="1124">
        <v>100</v>
      </c>
      <c r="S110" s="621"/>
    </row>
    <row r="111" spans="1:19" ht="19.5" customHeight="1">
      <c r="A111" s="1123">
        <v>2</v>
      </c>
      <c r="B111" s="1124" t="s">
        <v>1694</v>
      </c>
      <c r="C111" s="1124">
        <v>415</v>
      </c>
      <c r="D111" s="1124">
        <v>172</v>
      </c>
      <c r="E111" s="1125">
        <v>174</v>
      </c>
      <c r="F111" s="1126">
        <v>41.9277108433735</v>
      </c>
      <c r="G111" s="1124">
        <v>172</v>
      </c>
      <c r="H111" s="1124">
        <v>41.4</v>
      </c>
      <c r="I111" s="1124">
        <v>28</v>
      </c>
      <c r="J111" s="1124">
        <v>28</v>
      </c>
      <c r="K111" s="1124">
        <v>2</v>
      </c>
      <c r="L111" s="1124">
        <v>2</v>
      </c>
      <c r="M111" s="1124">
        <v>114</v>
      </c>
      <c r="N111" s="1124">
        <v>114</v>
      </c>
      <c r="O111" s="1124">
        <v>17</v>
      </c>
      <c r="P111" s="1124">
        <v>17</v>
      </c>
      <c r="Q111" s="1124">
        <v>254</v>
      </c>
      <c r="S111" s="621"/>
    </row>
    <row r="112" spans="1:19" ht="19.5" customHeight="1">
      <c r="A112" s="1123">
        <v>3</v>
      </c>
      <c r="B112" s="1124" t="s">
        <v>1695</v>
      </c>
      <c r="C112" s="1124">
        <v>436</v>
      </c>
      <c r="D112" s="1124">
        <v>158</v>
      </c>
      <c r="E112" s="1125">
        <v>187</v>
      </c>
      <c r="F112" s="1126">
        <v>42.88990825688074</v>
      </c>
      <c r="G112" s="1124">
        <v>188</v>
      </c>
      <c r="H112" s="1124">
        <v>43.1</v>
      </c>
      <c r="I112" s="1124">
        <v>30</v>
      </c>
      <c r="J112" s="1124">
        <v>30</v>
      </c>
      <c r="K112" s="1124">
        <v>2</v>
      </c>
      <c r="L112" s="1124">
        <v>2</v>
      </c>
      <c r="M112" s="1124">
        <v>128</v>
      </c>
      <c r="N112" s="1124">
        <v>109</v>
      </c>
      <c r="O112" s="1124">
        <v>18</v>
      </c>
      <c r="P112" s="1124">
        <v>18</v>
      </c>
      <c r="Q112" s="1124">
        <v>258</v>
      </c>
      <c r="S112" s="621"/>
    </row>
    <row r="113" spans="1:19" ht="19.5" customHeight="1">
      <c r="A113" s="1123">
        <v>4</v>
      </c>
      <c r="B113" s="1124" t="s">
        <v>1696</v>
      </c>
      <c r="C113" s="1124">
        <v>792</v>
      </c>
      <c r="D113" s="1124">
        <v>830</v>
      </c>
      <c r="E113" s="1125">
        <v>728</v>
      </c>
      <c r="F113" s="1126">
        <v>82</v>
      </c>
      <c r="G113" s="1125">
        <v>728</v>
      </c>
      <c r="H113" s="1126">
        <v>82</v>
      </c>
      <c r="I113" s="1124">
        <v>124</v>
      </c>
      <c r="J113" s="1124">
        <v>124</v>
      </c>
      <c r="K113" s="1124">
        <v>3</v>
      </c>
      <c r="L113" s="1124">
        <v>3</v>
      </c>
      <c r="M113" s="1124">
        <v>750</v>
      </c>
      <c r="N113" s="1124">
        <v>600</v>
      </c>
      <c r="O113" s="1124">
        <v>27</v>
      </c>
      <c r="P113" s="1124">
        <v>0</v>
      </c>
      <c r="Q113" s="1124">
        <v>78</v>
      </c>
      <c r="S113" s="621"/>
    </row>
    <row r="114" spans="1:19" ht="19.5" customHeight="1">
      <c r="A114" s="1123">
        <v>5</v>
      </c>
      <c r="B114" s="1124" t="s">
        <v>1697</v>
      </c>
      <c r="C114" s="1124">
        <v>611</v>
      </c>
      <c r="D114" s="1124">
        <v>514</v>
      </c>
      <c r="E114" s="1125">
        <v>492</v>
      </c>
      <c r="F114" s="1126">
        <v>80.52373158756137</v>
      </c>
      <c r="G114" s="1125">
        <v>492</v>
      </c>
      <c r="H114" s="1126">
        <v>80.52373158756137</v>
      </c>
      <c r="I114" s="1124">
        <v>372</v>
      </c>
      <c r="J114" s="1124">
        <v>371</v>
      </c>
      <c r="K114" s="1124">
        <v>6</v>
      </c>
      <c r="L114" s="1124">
        <v>1</v>
      </c>
      <c r="M114" s="1124">
        <v>15</v>
      </c>
      <c r="N114" s="1124">
        <v>15</v>
      </c>
      <c r="O114" s="1124">
        <v>0</v>
      </c>
      <c r="P114" s="1124">
        <v>0</v>
      </c>
      <c r="Q114" s="1124">
        <v>218</v>
      </c>
      <c r="S114" s="621"/>
    </row>
    <row r="115" spans="1:19" ht="19.5" customHeight="1">
      <c r="A115" s="1123">
        <v>6</v>
      </c>
      <c r="B115" s="1124" t="s">
        <v>1698</v>
      </c>
      <c r="C115" s="1124">
        <v>917</v>
      </c>
      <c r="D115" s="1124">
        <v>657</v>
      </c>
      <c r="E115" s="1125">
        <v>657</v>
      </c>
      <c r="F115" s="1126">
        <v>70.4</v>
      </c>
      <c r="G115" s="1124">
        <v>714</v>
      </c>
      <c r="H115" s="1124">
        <v>71.9</v>
      </c>
      <c r="I115" s="1124">
        <v>164</v>
      </c>
      <c r="J115" s="1124">
        <v>164</v>
      </c>
      <c r="K115" s="1124">
        <v>33</v>
      </c>
      <c r="L115" s="1124">
        <v>29</v>
      </c>
      <c r="M115" s="1124">
        <v>612</v>
      </c>
      <c r="N115" s="1124">
        <v>428</v>
      </c>
      <c r="O115" s="1124">
        <v>13</v>
      </c>
      <c r="P115" s="1124">
        <v>8</v>
      </c>
      <c r="Q115" s="1124">
        <v>95</v>
      </c>
      <c r="S115" s="621"/>
    </row>
    <row r="116" spans="1:19" ht="19.5" customHeight="1">
      <c r="A116" s="1123">
        <v>7</v>
      </c>
      <c r="B116" s="1124" t="s">
        <v>1699</v>
      </c>
      <c r="C116" s="1124">
        <v>1029</v>
      </c>
      <c r="D116" s="1124">
        <v>437</v>
      </c>
      <c r="E116" s="1125">
        <v>425</v>
      </c>
      <c r="F116" s="1126">
        <v>71.9</v>
      </c>
      <c r="G116" s="1125">
        <v>425</v>
      </c>
      <c r="H116" s="1126">
        <v>71.9</v>
      </c>
      <c r="I116" s="1124">
        <v>88</v>
      </c>
      <c r="J116" s="1124">
        <v>88</v>
      </c>
      <c r="K116" s="1124">
        <v>43</v>
      </c>
      <c r="L116" s="1124">
        <v>43</v>
      </c>
      <c r="M116" s="1124">
        <v>288</v>
      </c>
      <c r="N116" s="1124">
        <v>288</v>
      </c>
      <c r="O116" s="1124">
        <v>31</v>
      </c>
      <c r="P116" s="1124">
        <v>6</v>
      </c>
      <c r="Q116" s="1124">
        <v>94</v>
      </c>
      <c r="S116" s="621"/>
    </row>
    <row r="117" spans="1:19" ht="19.5" customHeight="1">
      <c r="A117" s="1123">
        <v>8</v>
      </c>
      <c r="B117" s="1124" t="s">
        <v>1700</v>
      </c>
      <c r="C117" s="1124">
        <v>568</v>
      </c>
      <c r="D117" s="1124">
        <v>461</v>
      </c>
      <c r="E117" s="1124">
        <v>443</v>
      </c>
      <c r="F117" s="1126">
        <v>77.99295774647888</v>
      </c>
      <c r="G117" s="1124">
        <v>443</v>
      </c>
      <c r="H117" s="1126">
        <v>77.99295774647888</v>
      </c>
      <c r="I117" s="1124">
        <v>233</v>
      </c>
      <c r="J117" s="1124">
        <v>233</v>
      </c>
      <c r="K117" s="1124">
        <v>2</v>
      </c>
      <c r="L117" s="1124">
        <v>2</v>
      </c>
      <c r="M117" s="1124">
        <v>332</v>
      </c>
      <c r="N117" s="1124">
        <v>208</v>
      </c>
      <c r="O117" s="1124">
        <v>0</v>
      </c>
      <c r="P117" s="1124">
        <v>0</v>
      </c>
      <c r="Q117" s="1124">
        <v>1</v>
      </c>
      <c r="S117" s="621"/>
    </row>
    <row r="118" spans="1:19" ht="19.5" customHeight="1">
      <c r="A118" s="1123">
        <v>9</v>
      </c>
      <c r="B118" s="1124" t="s">
        <v>1701</v>
      </c>
      <c r="C118" s="1124">
        <v>528</v>
      </c>
      <c r="D118" s="1124">
        <v>350</v>
      </c>
      <c r="E118" s="1125">
        <v>342</v>
      </c>
      <c r="F118" s="1126">
        <v>64.77272727272727</v>
      </c>
      <c r="G118" s="1125">
        <v>342</v>
      </c>
      <c r="H118" s="1126">
        <v>64.77272727272727</v>
      </c>
      <c r="I118" s="1124">
        <v>3</v>
      </c>
      <c r="J118" s="1124">
        <v>3</v>
      </c>
      <c r="K118" s="1124">
        <v>372</v>
      </c>
      <c r="L118" s="1124">
        <v>313</v>
      </c>
      <c r="M118" s="1124">
        <v>29</v>
      </c>
      <c r="N118" s="1124">
        <v>0</v>
      </c>
      <c r="O118" s="1124">
        <v>0</v>
      </c>
      <c r="P118" s="1124">
        <v>0</v>
      </c>
      <c r="Q118" s="1124">
        <v>124</v>
      </c>
      <c r="S118" s="621"/>
    </row>
    <row r="119" spans="1:19" ht="19.5" customHeight="1">
      <c r="A119" s="1123">
        <v>10</v>
      </c>
      <c r="B119" s="1124" t="s">
        <v>1702</v>
      </c>
      <c r="C119" s="1124">
        <v>650</v>
      </c>
      <c r="D119" s="1124">
        <v>540</v>
      </c>
      <c r="E119" s="1125">
        <v>537</v>
      </c>
      <c r="F119" s="1126">
        <v>82.61538461538461</v>
      </c>
      <c r="G119" s="1124">
        <v>537</v>
      </c>
      <c r="H119" s="1124">
        <v>82.6</v>
      </c>
      <c r="I119" s="1124">
        <v>78</v>
      </c>
      <c r="J119" s="1124">
        <v>78</v>
      </c>
      <c r="K119" s="1124">
        <v>0</v>
      </c>
      <c r="L119" s="1124">
        <v>0</v>
      </c>
      <c r="M119" s="1124">
        <v>473</v>
      </c>
      <c r="N119" s="1124">
        <v>454</v>
      </c>
      <c r="O119" s="1124">
        <v>1</v>
      </c>
      <c r="P119" s="1124">
        <v>1</v>
      </c>
      <c r="Q119" s="1124">
        <v>98</v>
      </c>
      <c r="S119" s="621"/>
    </row>
    <row r="120" spans="1:19" ht="19.5" customHeight="1">
      <c r="A120" s="1123">
        <v>11</v>
      </c>
      <c r="B120" s="1124" t="s">
        <v>1703</v>
      </c>
      <c r="C120" s="1124">
        <v>584</v>
      </c>
      <c r="D120" s="1124">
        <v>445</v>
      </c>
      <c r="E120" s="1125">
        <v>445</v>
      </c>
      <c r="F120" s="1126">
        <v>76.1986301369863</v>
      </c>
      <c r="G120" s="1124">
        <v>445</v>
      </c>
      <c r="H120" s="1124">
        <v>76.2</v>
      </c>
      <c r="I120" s="1124">
        <v>33</v>
      </c>
      <c r="J120" s="1124">
        <v>33</v>
      </c>
      <c r="K120" s="1124">
        <v>60</v>
      </c>
      <c r="L120" s="1124">
        <v>46</v>
      </c>
      <c r="M120" s="1124">
        <v>392</v>
      </c>
      <c r="N120" s="1124">
        <v>364</v>
      </c>
      <c r="O120" s="1124">
        <v>3</v>
      </c>
      <c r="P120" s="1124">
        <v>2</v>
      </c>
      <c r="Q120" s="1124">
        <v>96</v>
      </c>
      <c r="S120" s="621"/>
    </row>
    <row r="121" spans="1:19" ht="19.5" customHeight="1">
      <c r="A121" s="1123">
        <v>12</v>
      </c>
      <c r="B121" s="1124" t="s">
        <v>1704</v>
      </c>
      <c r="C121" s="1124">
        <v>494</v>
      </c>
      <c r="D121" s="1124">
        <v>340</v>
      </c>
      <c r="E121" s="1125">
        <v>335</v>
      </c>
      <c r="F121" s="1126">
        <v>67.81376518218623</v>
      </c>
      <c r="G121" s="1125">
        <v>335</v>
      </c>
      <c r="H121" s="1126">
        <v>67.81376518218623</v>
      </c>
      <c r="I121" s="1124">
        <v>134</v>
      </c>
      <c r="J121" s="1124">
        <v>134</v>
      </c>
      <c r="K121" s="1124">
        <v>2</v>
      </c>
      <c r="L121" s="1124">
        <v>2</v>
      </c>
      <c r="M121" s="1124">
        <v>156</v>
      </c>
      <c r="N121" s="1124">
        <v>126</v>
      </c>
      <c r="O121" s="1124">
        <v>100</v>
      </c>
      <c r="P121" s="1124">
        <v>73</v>
      </c>
      <c r="Q121" s="1124">
        <v>102</v>
      </c>
      <c r="S121" s="621"/>
    </row>
    <row r="122" spans="1:19" ht="19.5" customHeight="1">
      <c r="A122" s="1123">
        <v>13</v>
      </c>
      <c r="B122" s="1124" t="s">
        <v>1705</v>
      </c>
      <c r="C122" s="1124">
        <v>515</v>
      </c>
      <c r="D122" s="1124">
        <v>411</v>
      </c>
      <c r="E122" s="1125">
        <v>411</v>
      </c>
      <c r="F122" s="1126">
        <v>79.80582524271844</v>
      </c>
      <c r="G122" s="1124">
        <v>411</v>
      </c>
      <c r="H122" s="1124">
        <v>82.9</v>
      </c>
      <c r="I122" s="1124">
        <v>162</v>
      </c>
      <c r="J122" s="1124">
        <v>162</v>
      </c>
      <c r="K122" s="1124">
        <v>0</v>
      </c>
      <c r="L122" s="1124">
        <v>0</v>
      </c>
      <c r="M122" s="1124">
        <v>249</v>
      </c>
      <c r="N122" s="1124">
        <v>249</v>
      </c>
      <c r="O122" s="1124">
        <v>0</v>
      </c>
      <c r="P122" s="1124">
        <v>0</v>
      </c>
      <c r="Q122" s="1124">
        <v>85</v>
      </c>
      <c r="S122" s="621"/>
    </row>
    <row r="123" spans="1:19" ht="19.5" customHeight="1">
      <c r="A123" s="1123">
        <v>14</v>
      </c>
      <c r="B123" s="1124" t="s">
        <v>1706</v>
      </c>
      <c r="C123" s="1124">
        <v>538</v>
      </c>
      <c r="D123" s="1124">
        <v>370</v>
      </c>
      <c r="E123" s="1125">
        <v>363</v>
      </c>
      <c r="F123" s="1126">
        <v>67.4721189591078</v>
      </c>
      <c r="G123" s="1125">
        <v>363</v>
      </c>
      <c r="H123" s="1126">
        <v>67.4721189591078</v>
      </c>
      <c r="I123" s="1124">
        <v>85</v>
      </c>
      <c r="J123" s="1124">
        <v>85</v>
      </c>
      <c r="K123" s="1124">
        <v>0</v>
      </c>
      <c r="L123" s="1124">
        <v>0</v>
      </c>
      <c r="M123" s="1124">
        <v>360</v>
      </c>
      <c r="N123" s="1124">
        <v>278</v>
      </c>
      <c r="O123" s="1124">
        <v>36</v>
      </c>
      <c r="P123" s="1124">
        <v>0</v>
      </c>
      <c r="Q123" s="1124">
        <v>57</v>
      </c>
      <c r="S123" s="621"/>
    </row>
    <row r="124" spans="1:17" ht="19.5" customHeight="1">
      <c r="A124" s="1005"/>
      <c r="B124" s="620" t="s">
        <v>1707</v>
      </c>
      <c r="C124" s="1006">
        <v>76955</v>
      </c>
      <c r="D124" s="1006">
        <f>SUM(D9:D123)</f>
        <v>53010</v>
      </c>
      <c r="E124" s="1006">
        <f>SUM(E9:E123)</f>
        <v>50757</v>
      </c>
      <c r="F124" s="1007">
        <v>65.9</v>
      </c>
      <c r="G124" s="1006">
        <v>50449</v>
      </c>
      <c r="H124" s="1007">
        <v>65.9</v>
      </c>
      <c r="I124" s="1006">
        <v>21899</v>
      </c>
      <c r="J124" s="1006">
        <v>21899</v>
      </c>
      <c r="K124" s="1006">
        <v>2818</v>
      </c>
      <c r="L124" s="1006">
        <v>2588</v>
      </c>
      <c r="M124" s="1006">
        <v>21714</v>
      </c>
      <c r="N124" s="1006">
        <v>17970</v>
      </c>
      <c r="O124" s="1006">
        <v>6161</v>
      </c>
      <c r="P124" s="1006">
        <v>3603</v>
      </c>
      <c r="Q124" s="1006">
        <v>24597</v>
      </c>
    </row>
  </sheetData>
  <sheetProtection/>
  <mergeCells count="16">
    <mergeCell ref="G5:G6"/>
    <mergeCell ref="H5:H6"/>
    <mergeCell ref="I5:J5"/>
    <mergeCell ref="K5:L5"/>
    <mergeCell ref="M5:N5"/>
    <mergeCell ref="O5:P5"/>
    <mergeCell ref="A1:Q1"/>
    <mergeCell ref="A2:Q2"/>
    <mergeCell ref="A4:A6"/>
    <mergeCell ref="B4:B6"/>
    <mergeCell ref="C4:C6"/>
    <mergeCell ref="D4:D6"/>
    <mergeCell ref="E4:H4"/>
    <mergeCell ref="I4:Q4"/>
    <mergeCell ref="E5:E6"/>
    <mergeCell ref="F5:F6"/>
  </mergeCells>
  <printOptions/>
  <pageMargins left="0.5905511811023623" right="0.15748031496062992" top="0.35433070866141736" bottom="0.3937007874015748"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O16"/>
  <sheetViews>
    <sheetView zoomScalePageLayoutView="0" workbookViewId="0" topLeftCell="A1">
      <selection activeCell="E10" sqref="E10"/>
    </sheetView>
  </sheetViews>
  <sheetFormatPr defaultColWidth="8.796875" defaultRowHeight="15"/>
  <cols>
    <col min="1" max="1" width="4.09765625" style="658" customWidth="1"/>
    <col min="2" max="2" width="10.5" style="658" customWidth="1"/>
    <col min="3" max="3" width="16.5" style="658" customWidth="1"/>
    <col min="4" max="4" width="5.8984375" style="658" customWidth="1"/>
    <col min="5" max="5" width="7.19921875" style="658" customWidth="1"/>
    <col min="6" max="6" width="6.59765625" style="658" customWidth="1"/>
    <col min="7" max="7" width="7.09765625" style="658" customWidth="1"/>
    <col min="8" max="8" width="6.8984375" style="658" customWidth="1"/>
    <col min="9" max="9" width="9.09765625" style="658" bestFit="1" customWidth="1"/>
    <col min="10" max="10" width="7.3984375" style="658" bestFit="1" customWidth="1"/>
    <col min="11" max="11" width="7.19921875" style="658" customWidth="1"/>
    <col min="12" max="12" width="6.69921875" style="658" customWidth="1"/>
    <col min="13" max="13" width="9.09765625" style="658" bestFit="1" customWidth="1"/>
    <col min="14" max="15" width="8" style="658" customWidth="1"/>
    <col min="16" max="16384" width="9" style="658" customWidth="1"/>
  </cols>
  <sheetData>
    <row r="1" spans="1:15" s="691" customFormat="1" ht="15.75">
      <c r="A1" s="1483" t="s">
        <v>1318</v>
      </c>
      <c r="B1" s="1483"/>
      <c r="C1" s="1483"/>
      <c r="D1" s="1483"/>
      <c r="E1" s="1483"/>
      <c r="F1" s="1483"/>
      <c r="G1" s="1483"/>
      <c r="H1" s="1483"/>
      <c r="I1" s="1483"/>
      <c r="J1" s="1483"/>
      <c r="K1" s="1483"/>
      <c r="L1" s="1483"/>
      <c r="M1" s="1483"/>
      <c r="N1" s="1483"/>
      <c r="O1" s="1483"/>
    </row>
    <row r="2" spans="1:15" ht="21" customHeight="1">
      <c r="A2" s="1484" t="s">
        <v>1275</v>
      </c>
      <c r="B2" s="1484"/>
      <c r="C2" s="1484"/>
      <c r="D2" s="1484"/>
      <c r="E2" s="1484"/>
      <c r="F2" s="1484"/>
      <c r="G2" s="1484"/>
      <c r="H2" s="1484"/>
      <c r="I2" s="1484"/>
      <c r="J2" s="1484"/>
      <c r="K2" s="1484"/>
      <c r="L2" s="1484"/>
      <c r="M2" s="1484"/>
      <c r="N2" s="1484"/>
      <c r="O2" s="1484"/>
    </row>
    <row r="4" spans="1:15" ht="89.25">
      <c r="A4" s="657" t="s">
        <v>488</v>
      </c>
      <c r="B4" s="659" t="s">
        <v>1305</v>
      </c>
      <c r="C4" s="659" t="s">
        <v>999</v>
      </c>
      <c r="D4" s="659" t="s">
        <v>1306</v>
      </c>
      <c r="E4" s="659" t="s">
        <v>1307</v>
      </c>
      <c r="F4" s="659" t="s">
        <v>1308</v>
      </c>
      <c r="G4" s="659" t="s">
        <v>1309</v>
      </c>
      <c r="H4" s="659" t="s">
        <v>1310</v>
      </c>
      <c r="I4" s="659" t="s">
        <v>1311</v>
      </c>
      <c r="J4" s="659" t="s">
        <v>1312</v>
      </c>
      <c r="K4" s="659" t="s">
        <v>1313</v>
      </c>
      <c r="L4" s="659" t="s">
        <v>1314</v>
      </c>
      <c r="M4" s="659" t="s">
        <v>1315</v>
      </c>
      <c r="N4" s="659" t="s">
        <v>1319</v>
      </c>
      <c r="O4" s="659" t="s">
        <v>1320</v>
      </c>
    </row>
    <row r="5" spans="1:15" ht="15.75">
      <c r="A5" s="660" t="s">
        <v>1316</v>
      </c>
      <c r="B5" s="661"/>
      <c r="C5" s="662"/>
      <c r="D5" s="663"/>
      <c r="E5" s="663"/>
      <c r="F5" s="663"/>
      <c r="G5" s="664"/>
      <c r="H5" s="664"/>
      <c r="I5" s="665"/>
      <c r="J5" s="666"/>
      <c r="K5" s="667"/>
      <c r="L5" s="667"/>
      <c r="M5" s="668"/>
      <c r="N5" s="667"/>
      <c r="O5" s="669"/>
    </row>
    <row r="6" spans="1:15" ht="15.75">
      <c r="A6" s="76"/>
      <c r="B6" s="431"/>
      <c r="C6" s="670"/>
      <c r="D6" s="671"/>
      <c r="E6" s="671"/>
      <c r="F6" s="671"/>
      <c r="G6" s="672"/>
      <c r="H6" s="672"/>
      <c r="I6" s="673"/>
      <c r="J6" s="674"/>
      <c r="K6" s="675"/>
      <c r="L6" s="675"/>
      <c r="M6" s="676"/>
      <c r="N6" s="675"/>
      <c r="O6" s="677"/>
    </row>
    <row r="7" spans="1:15" s="421" customFormat="1" ht="15.75">
      <c r="A7" s="431"/>
      <c r="B7" s="431"/>
      <c r="C7" s="431"/>
      <c r="D7" s="431"/>
      <c r="E7" s="431"/>
      <c r="F7" s="431"/>
      <c r="G7" s="672"/>
      <c r="H7" s="672"/>
      <c r="I7" s="673"/>
      <c r="J7" s="212"/>
      <c r="K7" s="212"/>
      <c r="L7" s="212"/>
      <c r="M7" s="678"/>
      <c r="N7" s="212"/>
      <c r="O7" s="677"/>
    </row>
    <row r="8" spans="1:15" s="679" customFormat="1" ht="15.75">
      <c r="A8" s="431"/>
      <c r="B8" s="431"/>
      <c r="C8" s="431"/>
      <c r="D8" s="431"/>
      <c r="E8" s="431"/>
      <c r="F8" s="431"/>
      <c r="G8" s="672"/>
      <c r="H8" s="672"/>
      <c r="I8" s="673"/>
      <c r="J8" s="212"/>
      <c r="K8" s="212"/>
      <c r="L8" s="212"/>
      <c r="M8" s="678"/>
      <c r="N8" s="212"/>
      <c r="O8" s="677"/>
    </row>
    <row r="9" spans="1:15" s="679" customFormat="1" ht="15.75">
      <c r="A9" s="660" t="s">
        <v>1317</v>
      </c>
      <c r="B9" s="431"/>
      <c r="C9" s="431"/>
      <c r="D9" s="431"/>
      <c r="E9" s="431"/>
      <c r="F9" s="431"/>
      <c r="G9" s="672"/>
      <c r="H9" s="672"/>
      <c r="I9" s="673"/>
      <c r="J9" s="212"/>
      <c r="K9" s="212"/>
      <c r="L9" s="212"/>
      <c r="M9" s="680"/>
      <c r="N9" s="212"/>
      <c r="O9" s="677"/>
    </row>
    <row r="10" spans="1:15" s="679" customFormat="1" ht="15.75">
      <c r="A10" s="431" t="s">
        <v>760</v>
      </c>
      <c r="B10" s="431"/>
      <c r="C10" s="431"/>
      <c r="D10" s="431"/>
      <c r="E10" s="431"/>
      <c r="F10" s="431"/>
      <c r="G10" s="672"/>
      <c r="H10" s="672"/>
      <c r="I10" s="673"/>
      <c r="J10" s="212"/>
      <c r="K10" s="212"/>
      <c r="L10" s="212"/>
      <c r="M10" s="678"/>
      <c r="N10" s="212"/>
      <c r="O10" s="677"/>
    </row>
    <row r="11" spans="1:15" s="679" customFormat="1" ht="15.75">
      <c r="A11" s="431"/>
      <c r="B11" s="431"/>
      <c r="C11" s="431"/>
      <c r="D11" s="431"/>
      <c r="E11" s="431"/>
      <c r="F11" s="431"/>
      <c r="G11" s="672"/>
      <c r="H11" s="672"/>
      <c r="I11" s="673"/>
      <c r="J11" s="212"/>
      <c r="K11" s="212"/>
      <c r="L11" s="212"/>
      <c r="M11" s="678"/>
      <c r="N11" s="212"/>
      <c r="O11" s="677"/>
    </row>
    <row r="12" spans="1:15" s="679" customFormat="1" ht="15.75">
      <c r="A12" s="431"/>
      <c r="B12" s="431"/>
      <c r="C12" s="431"/>
      <c r="D12" s="431"/>
      <c r="E12" s="431"/>
      <c r="F12" s="431"/>
      <c r="G12" s="672"/>
      <c r="H12" s="672"/>
      <c r="I12" s="673"/>
      <c r="J12" s="212"/>
      <c r="K12" s="212"/>
      <c r="L12" s="212"/>
      <c r="M12" s="678"/>
      <c r="N12" s="212"/>
      <c r="O12" s="677"/>
    </row>
    <row r="13" spans="1:15" s="421" customFormat="1" ht="15.75">
      <c r="A13" s="431"/>
      <c r="B13" s="431"/>
      <c r="C13" s="431"/>
      <c r="D13" s="431"/>
      <c r="E13" s="431"/>
      <c r="F13" s="431"/>
      <c r="G13" s="672"/>
      <c r="H13" s="672"/>
      <c r="I13" s="673"/>
      <c r="J13" s="212"/>
      <c r="K13" s="212"/>
      <c r="L13" s="212"/>
      <c r="M13" s="678"/>
      <c r="N13" s="212"/>
      <c r="O13" s="677"/>
    </row>
    <row r="14" spans="1:15" s="689" customFormat="1" ht="12.75">
      <c r="A14" s="681"/>
      <c r="B14" s="682"/>
      <c r="C14" s="683"/>
      <c r="D14" s="684"/>
      <c r="E14" s="684"/>
      <c r="F14" s="685"/>
      <c r="G14" s="684"/>
      <c r="H14" s="684"/>
      <c r="I14" s="684"/>
      <c r="J14" s="686"/>
      <c r="K14" s="687"/>
      <c r="L14" s="688"/>
      <c r="M14" s="685"/>
      <c r="N14" s="687"/>
      <c r="O14" s="685"/>
    </row>
    <row r="16" ht="14.25">
      <c r="B16" s="690"/>
    </row>
  </sheetData>
  <sheetProtection/>
  <mergeCells count="2">
    <mergeCell ref="A1:O1"/>
    <mergeCell ref="A2:O2"/>
  </mergeCells>
  <hyperlinks>
    <hyperlink ref="D4" r:id="rId1" display="_ftn1"/>
  </hyperlinks>
  <printOptions/>
  <pageMargins left="0.7" right="0.7" top="0.75" bottom="0.75" header="0.3" footer="0.3"/>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dimension ref="A1:W112"/>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98" sqref="B98:C98"/>
    </sheetView>
  </sheetViews>
  <sheetFormatPr defaultColWidth="8.796875" defaultRowHeight="15"/>
  <cols>
    <col min="1" max="1" width="3.8984375" style="3" bestFit="1" customWidth="1"/>
    <col min="2" max="2" width="10.8984375" style="3" customWidth="1"/>
    <col min="3" max="3" width="7.5" style="3" customWidth="1"/>
    <col min="4" max="4" width="6.69921875" style="3" customWidth="1"/>
    <col min="5" max="5" width="7.59765625" style="3" customWidth="1"/>
    <col min="6" max="6" width="7.3984375" style="3" customWidth="1"/>
    <col min="7" max="7" width="7.19921875" style="3" customWidth="1"/>
    <col min="8" max="8" width="7.3984375" style="3" customWidth="1"/>
    <col min="9" max="9" width="6.69921875" style="3" customWidth="1"/>
    <col min="10" max="10" width="7" style="3" customWidth="1"/>
    <col min="11" max="12" width="6.59765625" style="3" customWidth="1"/>
    <col min="13" max="13" width="6.3984375" style="3" customWidth="1"/>
    <col min="14" max="14" width="7.09765625" style="3" customWidth="1"/>
    <col min="15" max="15" width="6.59765625" style="3" customWidth="1"/>
    <col min="16" max="16" width="7.19921875" style="3" customWidth="1"/>
    <col min="17" max="17" width="5.69921875" style="3" customWidth="1"/>
    <col min="18" max="18" width="5.3984375" style="3" customWidth="1"/>
    <col min="19" max="19" width="6.3984375" style="3" customWidth="1"/>
    <col min="20" max="21" width="9" style="3" customWidth="1"/>
    <col min="22" max="22" width="10.69921875" style="3" customWidth="1"/>
    <col min="23" max="16384" width="9" style="3" customWidth="1"/>
  </cols>
  <sheetData>
    <row r="1" spans="1:19" s="792" customFormat="1" ht="22.5" customHeight="1">
      <c r="A1" s="790" t="s">
        <v>2313</v>
      </c>
      <c r="B1" s="790"/>
      <c r="C1" s="790"/>
      <c r="D1" s="790"/>
      <c r="E1" s="790"/>
      <c r="F1" s="790"/>
      <c r="G1" s="790"/>
      <c r="H1" s="790"/>
      <c r="I1" s="791"/>
      <c r="J1" s="791"/>
      <c r="K1" s="791"/>
      <c r="L1" s="791"/>
      <c r="M1" s="791"/>
      <c r="N1" s="790"/>
      <c r="O1" s="790"/>
      <c r="P1" s="790"/>
      <c r="Q1" s="790"/>
      <c r="R1" s="790"/>
      <c r="S1" s="790"/>
    </row>
    <row r="2" spans="1:19" s="732" customFormat="1" ht="16.5">
      <c r="A2" s="731" t="s">
        <v>2315</v>
      </c>
      <c r="B2" s="731"/>
      <c r="C2" s="731"/>
      <c r="D2" s="731"/>
      <c r="E2" s="731"/>
      <c r="F2" s="731"/>
      <c r="G2" s="731"/>
      <c r="H2" s="731"/>
      <c r="I2" s="739"/>
      <c r="J2" s="739"/>
      <c r="K2" s="739"/>
      <c r="L2" s="739"/>
      <c r="M2" s="739"/>
      <c r="N2" s="731"/>
      <c r="O2" s="731"/>
      <c r="P2" s="731"/>
      <c r="Q2" s="731"/>
      <c r="R2" s="731"/>
      <c r="S2" s="731"/>
    </row>
    <row r="3" spans="9:13" ht="9" customHeight="1">
      <c r="I3" s="649"/>
      <c r="J3" s="649"/>
      <c r="K3" s="649"/>
      <c r="L3" s="649"/>
      <c r="M3" s="649"/>
    </row>
    <row r="4" spans="1:19" s="844" customFormat="1" ht="21" customHeight="1">
      <c r="A4" s="1487" t="s">
        <v>488</v>
      </c>
      <c r="B4" s="1489" t="s">
        <v>1202</v>
      </c>
      <c r="C4" s="1494" t="s">
        <v>1288</v>
      </c>
      <c r="D4" s="1495"/>
      <c r="E4" s="1495"/>
      <c r="F4" s="1495"/>
      <c r="G4" s="1495"/>
      <c r="H4" s="1495"/>
      <c r="I4" s="1495"/>
      <c r="J4" s="1495"/>
      <c r="K4" s="1495"/>
      <c r="L4" s="1496"/>
      <c r="M4" s="1491" t="s">
        <v>1349</v>
      </c>
      <c r="N4" s="1492"/>
      <c r="O4" s="1492"/>
      <c r="P4" s="1493"/>
      <c r="Q4" s="1494" t="s">
        <v>1296</v>
      </c>
      <c r="R4" s="1495"/>
      <c r="S4" s="1496"/>
    </row>
    <row r="5" spans="1:19" s="844" customFormat="1" ht="88.5" customHeight="1">
      <c r="A5" s="1488"/>
      <c r="B5" s="1490"/>
      <c r="C5" s="845" t="s">
        <v>233</v>
      </c>
      <c r="D5" s="845" t="s">
        <v>1289</v>
      </c>
      <c r="E5" s="845" t="s">
        <v>1290</v>
      </c>
      <c r="F5" s="845" t="s">
        <v>1291</v>
      </c>
      <c r="G5" s="845" t="s">
        <v>1450</v>
      </c>
      <c r="H5" s="845" t="s">
        <v>1451</v>
      </c>
      <c r="I5" s="845" t="s">
        <v>1292</v>
      </c>
      <c r="J5" s="845" t="s">
        <v>1293</v>
      </c>
      <c r="K5" s="845" t="s">
        <v>1452</v>
      </c>
      <c r="L5" s="845" t="s">
        <v>1453</v>
      </c>
      <c r="M5" s="845" t="s">
        <v>1297</v>
      </c>
      <c r="N5" s="845" t="s">
        <v>1294</v>
      </c>
      <c r="O5" s="845" t="s">
        <v>1295</v>
      </c>
      <c r="P5" s="845" t="s">
        <v>238</v>
      </c>
      <c r="Q5" s="845" t="s">
        <v>1297</v>
      </c>
      <c r="R5" s="845" t="s">
        <v>1295</v>
      </c>
      <c r="S5" s="845" t="s">
        <v>238</v>
      </c>
    </row>
    <row r="6" spans="1:19" ht="15">
      <c r="A6" s="823">
        <v>1</v>
      </c>
      <c r="B6" s="823">
        <v>2</v>
      </c>
      <c r="C6" s="823">
        <v>3</v>
      </c>
      <c r="D6" s="823">
        <v>4</v>
      </c>
      <c r="E6" s="823">
        <v>5</v>
      </c>
      <c r="F6" s="823">
        <v>6</v>
      </c>
      <c r="G6" s="823">
        <v>7</v>
      </c>
      <c r="H6" s="823">
        <v>8</v>
      </c>
      <c r="I6" s="823">
        <v>9</v>
      </c>
      <c r="J6" s="823">
        <v>10</v>
      </c>
      <c r="K6" s="823">
        <v>11</v>
      </c>
      <c r="L6" s="823">
        <v>12</v>
      </c>
      <c r="M6" s="823">
        <v>13</v>
      </c>
      <c r="N6" s="823">
        <v>14</v>
      </c>
      <c r="O6" s="823">
        <v>15</v>
      </c>
      <c r="P6" s="823">
        <v>16</v>
      </c>
      <c r="Q6" s="823">
        <v>17</v>
      </c>
      <c r="R6" s="823">
        <v>18</v>
      </c>
      <c r="S6" s="823">
        <v>19</v>
      </c>
    </row>
    <row r="7" spans="1:19" ht="16.5" customHeight="1">
      <c r="A7" s="824"/>
      <c r="B7" s="814" t="s">
        <v>1168</v>
      </c>
      <c r="C7" s="825">
        <f>SUM(C9:C111)</f>
        <v>255599.79999999996</v>
      </c>
      <c r="D7" s="825">
        <f>SUM(D9:D111)</f>
        <v>58224.1</v>
      </c>
      <c r="E7" s="825">
        <f>SUM(E9:E111)</f>
        <v>251760.4</v>
      </c>
      <c r="F7" s="826">
        <v>98.5</v>
      </c>
      <c r="G7" s="827">
        <f>E7/C7*100</f>
        <v>98.49788614858073</v>
      </c>
      <c r="H7" s="826">
        <v>42.8</v>
      </c>
      <c r="I7" s="825">
        <f>SUM(I9:I111)</f>
        <v>55702.6</v>
      </c>
      <c r="J7" s="828">
        <f>I7/D7*100</f>
        <v>95.66931906203789</v>
      </c>
      <c r="K7" s="828">
        <v>95.67</v>
      </c>
      <c r="L7" s="829">
        <v>19.5</v>
      </c>
      <c r="M7" s="830"/>
      <c r="N7" s="831"/>
      <c r="O7" s="831"/>
      <c r="P7" s="825">
        <v>149604.9</v>
      </c>
      <c r="Q7" s="832"/>
      <c r="R7" s="832"/>
      <c r="S7" s="832">
        <v>101573.4</v>
      </c>
    </row>
    <row r="8" spans="1:19" ht="16.5" customHeight="1">
      <c r="A8" s="833" t="s">
        <v>486</v>
      </c>
      <c r="B8" s="815" t="s">
        <v>1640</v>
      </c>
      <c r="C8" s="834"/>
      <c r="D8" s="825"/>
      <c r="E8" s="835"/>
      <c r="F8" s="836"/>
      <c r="G8" s="836"/>
      <c r="H8" s="836"/>
      <c r="I8" s="834"/>
      <c r="J8" s="828"/>
      <c r="K8" s="828"/>
      <c r="L8" s="837"/>
      <c r="M8" s="832"/>
      <c r="N8" s="832"/>
      <c r="O8" s="832"/>
      <c r="P8" s="825"/>
      <c r="Q8" s="832"/>
      <c r="R8" s="832"/>
      <c r="S8" s="825"/>
    </row>
    <row r="9" spans="1:23" ht="15.75" customHeight="1">
      <c r="A9" s="822">
        <v>1</v>
      </c>
      <c r="B9" s="816" t="s">
        <v>1710</v>
      </c>
      <c r="C9" s="834">
        <v>2269.1</v>
      </c>
      <c r="D9" s="825">
        <v>688.8</v>
      </c>
      <c r="E9" s="835">
        <v>2085.5</v>
      </c>
      <c r="F9" s="836">
        <v>92</v>
      </c>
      <c r="G9" s="836">
        <v>92</v>
      </c>
      <c r="H9" s="836">
        <v>10.512820512820513</v>
      </c>
      <c r="I9" s="834">
        <v>574</v>
      </c>
      <c r="J9" s="828">
        <v>83.33333333333334</v>
      </c>
      <c r="K9" s="828">
        <v>83.33333333333334</v>
      </c>
      <c r="L9" s="837">
        <v>0</v>
      </c>
      <c r="M9" s="825">
        <v>349</v>
      </c>
      <c r="N9" s="825">
        <v>336</v>
      </c>
      <c r="O9" s="831"/>
      <c r="P9" s="825">
        <v>696.9999999999999</v>
      </c>
      <c r="Q9" s="831">
        <v>2</v>
      </c>
      <c r="R9" s="831"/>
      <c r="S9" s="825">
        <v>1373.4999999999998</v>
      </c>
      <c r="T9" s="1008"/>
      <c r="U9" s="1009"/>
      <c r="V9" s="1010"/>
      <c r="W9" s="1008"/>
    </row>
    <row r="10" spans="1:23" ht="15.75" customHeight="1">
      <c r="A10" s="822">
        <v>2</v>
      </c>
      <c r="B10" s="817" t="s">
        <v>1711</v>
      </c>
      <c r="C10" s="834">
        <v>2674.9999999999995</v>
      </c>
      <c r="D10" s="825">
        <v>975.8</v>
      </c>
      <c r="E10" s="835">
        <v>2690</v>
      </c>
      <c r="F10" s="836">
        <v>100.00000000000001</v>
      </c>
      <c r="G10" s="836">
        <v>100.00000000000001</v>
      </c>
      <c r="H10" s="836">
        <v>72</v>
      </c>
      <c r="I10" s="834">
        <v>856.9</v>
      </c>
      <c r="J10" s="828">
        <v>87.81512605042016</v>
      </c>
      <c r="K10" s="828">
        <v>87.81512605042016</v>
      </c>
      <c r="L10" s="829">
        <v>12.184873949579831</v>
      </c>
      <c r="M10" s="825">
        <v>696</v>
      </c>
      <c r="N10" s="825">
        <v>566</v>
      </c>
      <c r="O10" s="831">
        <v>0</v>
      </c>
      <c r="P10" s="825">
        <v>2324.7</v>
      </c>
      <c r="Q10" s="831">
        <v>3</v>
      </c>
      <c r="R10" s="831"/>
      <c r="S10" s="825">
        <v>340.29999999999995</v>
      </c>
      <c r="T10" s="1008"/>
      <c r="U10" s="1009"/>
      <c r="V10" s="1010"/>
      <c r="W10" s="1008"/>
    </row>
    <row r="11" spans="1:23" ht="15.75" customHeight="1">
      <c r="A11" s="822">
        <v>3</v>
      </c>
      <c r="B11" s="817" t="s">
        <v>1077</v>
      </c>
      <c r="C11" s="834">
        <v>2970.2</v>
      </c>
      <c r="D11" s="825">
        <v>668.3</v>
      </c>
      <c r="E11" s="835">
        <v>2975.2</v>
      </c>
      <c r="F11" s="836">
        <v>100</v>
      </c>
      <c r="G11" s="836">
        <v>100</v>
      </c>
      <c r="H11" s="836">
        <v>35.39325842696629</v>
      </c>
      <c r="I11" s="834">
        <v>668.3</v>
      </c>
      <c r="J11" s="828">
        <v>100</v>
      </c>
      <c r="K11" s="828">
        <v>100</v>
      </c>
      <c r="L11" s="829">
        <v>0</v>
      </c>
      <c r="M11" s="825">
        <v>338</v>
      </c>
      <c r="N11" s="825">
        <v>234</v>
      </c>
      <c r="O11" s="831"/>
      <c r="P11" s="825">
        <v>0</v>
      </c>
      <c r="Q11" s="831">
        <v>9</v>
      </c>
      <c r="R11" s="831"/>
      <c r="S11" s="825">
        <v>2960.2</v>
      </c>
      <c r="T11" s="1008"/>
      <c r="U11" s="1009"/>
      <c r="V11" s="1010"/>
      <c r="W11" s="1008"/>
    </row>
    <row r="12" spans="1:23" ht="15.75" customHeight="1">
      <c r="A12" s="822">
        <v>4</v>
      </c>
      <c r="B12" s="817" t="s">
        <v>1712</v>
      </c>
      <c r="C12" s="834">
        <v>1690</v>
      </c>
      <c r="D12" s="825">
        <v>430.49999999999994</v>
      </c>
      <c r="E12" s="835">
        <v>1705</v>
      </c>
      <c r="F12" s="836">
        <v>100</v>
      </c>
      <c r="G12" s="836">
        <v>100</v>
      </c>
      <c r="H12" s="836">
        <v>100</v>
      </c>
      <c r="I12" s="834">
        <v>430.49999999999994</v>
      </c>
      <c r="J12" s="828">
        <v>100</v>
      </c>
      <c r="K12" s="828">
        <v>100</v>
      </c>
      <c r="L12" s="829">
        <v>0</v>
      </c>
      <c r="M12" s="825">
        <v>26</v>
      </c>
      <c r="N12" s="825">
        <v>26</v>
      </c>
      <c r="O12" s="831"/>
      <c r="P12" s="825">
        <v>590.4</v>
      </c>
      <c r="Q12" s="831">
        <v>5</v>
      </c>
      <c r="R12" s="831"/>
      <c r="S12" s="825">
        <v>1090.6</v>
      </c>
      <c r="T12" s="1008"/>
      <c r="U12" s="1009"/>
      <c r="V12" s="1010"/>
      <c r="W12" s="1008"/>
    </row>
    <row r="13" spans="1:23" ht="15.75" customHeight="1">
      <c r="A13" s="822">
        <v>5</v>
      </c>
      <c r="B13" s="817" t="s">
        <v>1713</v>
      </c>
      <c r="C13" s="834">
        <v>2695.4999999999995</v>
      </c>
      <c r="D13" s="825">
        <v>1152.1</v>
      </c>
      <c r="E13" s="835">
        <v>2711</v>
      </c>
      <c r="F13" s="836">
        <v>100</v>
      </c>
      <c r="G13" s="836">
        <v>100</v>
      </c>
      <c r="H13" s="836">
        <v>24.946695095948826</v>
      </c>
      <c r="I13" s="834">
        <v>1152.1</v>
      </c>
      <c r="J13" s="828">
        <v>100</v>
      </c>
      <c r="K13" s="828">
        <v>100</v>
      </c>
      <c r="L13" s="829">
        <v>0</v>
      </c>
      <c r="M13" s="825">
        <v>406</v>
      </c>
      <c r="N13" s="825">
        <v>405</v>
      </c>
      <c r="O13" s="831"/>
      <c r="P13" s="825">
        <v>1279.1999999999998</v>
      </c>
      <c r="Q13" s="831">
        <v>3</v>
      </c>
      <c r="R13" s="831"/>
      <c r="S13" s="825">
        <v>1406.3</v>
      </c>
      <c r="T13" s="1008"/>
      <c r="U13" s="1009"/>
      <c r="V13" s="1010"/>
      <c r="W13" s="1008"/>
    </row>
    <row r="14" spans="1:23" ht="15.75" customHeight="1">
      <c r="A14" s="822">
        <v>6</v>
      </c>
      <c r="B14" s="817" t="s">
        <v>1714</v>
      </c>
      <c r="C14" s="834">
        <v>1285.1</v>
      </c>
      <c r="D14" s="825">
        <v>405.9</v>
      </c>
      <c r="E14" s="835">
        <v>1236.8</v>
      </c>
      <c r="F14" s="836">
        <v>95.81993569131834</v>
      </c>
      <c r="G14" s="836">
        <v>95.81993569131834</v>
      </c>
      <c r="H14" s="836">
        <v>38.81481481481481</v>
      </c>
      <c r="I14" s="834">
        <v>405.9</v>
      </c>
      <c r="J14" s="828">
        <v>100</v>
      </c>
      <c r="K14" s="828">
        <v>100</v>
      </c>
      <c r="L14" s="829">
        <v>0</v>
      </c>
      <c r="M14" s="825">
        <v>371</v>
      </c>
      <c r="N14" s="825">
        <v>371</v>
      </c>
      <c r="O14" s="831"/>
      <c r="P14" s="825">
        <v>676.4999999999999</v>
      </c>
      <c r="Q14" s="831">
        <v>4</v>
      </c>
      <c r="R14" s="831"/>
      <c r="S14" s="825">
        <v>545.3</v>
      </c>
      <c r="T14" s="1008"/>
      <c r="U14" s="1009"/>
      <c r="V14" s="1010"/>
      <c r="W14" s="1008"/>
    </row>
    <row r="15" spans="1:23" ht="15.75" customHeight="1">
      <c r="A15" s="822">
        <v>7</v>
      </c>
      <c r="B15" s="817" t="s">
        <v>1642</v>
      </c>
      <c r="C15" s="834">
        <v>2203.5</v>
      </c>
      <c r="D15" s="825">
        <v>627.3</v>
      </c>
      <c r="E15" s="835">
        <v>1761.6</v>
      </c>
      <c r="F15" s="836">
        <v>79.62616822429906</v>
      </c>
      <c r="G15" s="836">
        <v>79.62616822429906</v>
      </c>
      <c r="H15" s="836">
        <v>19.701266780109663</v>
      </c>
      <c r="I15" s="834">
        <v>418.2</v>
      </c>
      <c r="J15" s="828">
        <v>66.66666666666666</v>
      </c>
      <c r="K15" s="828">
        <v>66.66666666666666</v>
      </c>
      <c r="L15" s="829">
        <v>30.065359477124183</v>
      </c>
      <c r="M15" s="825">
        <v>604</v>
      </c>
      <c r="N15" s="825">
        <v>559</v>
      </c>
      <c r="O15" s="831">
        <v>0</v>
      </c>
      <c r="P15" s="825">
        <v>893.8</v>
      </c>
      <c r="Q15" s="831">
        <v>9</v>
      </c>
      <c r="R15" s="831"/>
      <c r="S15" s="825">
        <v>852.8</v>
      </c>
      <c r="T15" s="1008"/>
      <c r="U15" s="1009"/>
      <c r="V15" s="1010"/>
      <c r="W15" s="1008"/>
    </row>
    <row r="16" spans="1:23" ht="15.75" customHeight="1">
      <c r="A16" s="822">
        <v>8</v>
      </c>
      <c r="B16" s="817" t="s">
        <v>1715</v>
      </c>
      <c r="C16" s="834">
        <v>2498.7</v>
      </c>
      <c r="D16" s="825">
        <v>225.49999999999997</v>
      </c>
      <c r="E16" s="835">
        <v>2503.7</v>
      </c>
      <c r="F16" s="836">
        <v>100</v>
      </c>
      <c r="G16" s="836">
        <v>100</v>
      </c>
      <c r="H16" s="836">
        <v>75</v>
      </c>
      <c r="I16" s="834">
        <v>225.49999999999997</v>
      </c>
      <c r="J16" s="828">
        <v>100</v>
      </c>
      <c r="K16" s="828">
        <v>100</v>
      </c>
      <c r="L16" s="829">
        <v>100</v>
      </c>
      <c r="M16" s="825">
        <v>264</v>
      </c>
      <c r="N16" s="825">
        <v>264</v>
      </c>
      <c r="O16" s="831"/>
      <c r="P16" s="825">
        <v>1853.1999999999998</v>
      </c>
      <c r="Q16" s="831">
        <v>7</v>
      </c>
      <c r="R16" s="831"/>
      <c r="S16" s="825">
        <v>635.5</v>
      </c>
      <c r="T16" s="1008"/>
      <c r="U16" s="1009"/>
      <c r="V16" s="1010"/>
      <c r="W16" s="1008"/>
    </row>
    <row r="17" spans="1:23" ht="15.75" customHeight="1">
      <c r="A17" s="822">
        <v>9</v>
      </c>
      <c r="B17" s="817" t="s">
        <v>1716</v>
      </c>
      <c r="C17" s="834">
        <v>1682.8</v>
      </c>
      <c r="D17" s="825">
        <v>590.4</v>
      </c>
      <c r="E17" s="835">
        <v>1646.8</v>
      </c>
      <c r="F17" s="836">
        <v>97.54901960784314</v>
      </c>
      <c r="G17" s="836">
        <v>97.54901960784314</v>
      </c>
      <c r="H17" s="836">
        <v>47.41935483870967</v>
      </c>
      <c r="I17" s="834">
        <v>373.09999999999997</v>
      </c>
      <c r="J17" s="828">
        <v>63.19444444444444</v>
      </c>
      <c r="K17" s="828">
        <v>63.19444444444444</v>
      </c>
      <c r="L17" s="829">
        <v>31.25</v>
      </c>
      <c r="M17" s="825">
        <v>145</v>
      </c>
      <c r="N17" s="825">
        <v>133</v>
      </c>
      <c r="O17" s="831"/>
      <c r="P17" s="825">
        <v>561.6999999999999</v>
      </c>
      <c r="Q17" s="831">
        <v>8</v>
      </c>
      <c r="R17" s="831"/>
      <c r="S17" s="825">
        <v>1070.1</v>
      </c>
      <c r="T17" s="1008"/>
      <c r="U17" s="1009"/>
      <c r="V17" s="1010"/>
      <c r="W17" s="1008"/>
    </row>
    <row r="18" spans="1:23" ht="15.75" customHeight="1">
      <c r="A18" s="822">
        <v>10</v>
      </c>
      <c r="B18" s="817" t="s">
        <v>1717</v>
      </c>
      <c r="C18" s="838">
        <v>2986.6</v>
      </c>
      <c r="D18" s="839">
        <v>528.9</v>
      </c>
      <c r="E18" s="839">
        <v>2991.6</v>
      </c>
      <c r="F18" s="836">
        <v>100</v>
      </c>
      <c r="G18" s="836">
        <v>100</v>
      </c>
      <c r="H18" s="840">
        <v>9.852216748768473</v>
      </c>
      <c r="I18" s="838">
        <v>528.9</v>
      </c>
      <c r="J18" s="841">
        <v>100</v>
      </c>
      <c r="K18" s="841">
        <v>100</v>
      </c>
      <c r="L18" s="840">
        <v>0</v>
      </c>
      <c r="M18" s="839">
        <v>376</v>
      </c>
      <c r="N18" s="839">
        <v>259</v>
      </c>
      <c r="O18" s="842"/>
      <c r="P18" s="839">
        <v>0</v>
      </c>
      <c r="Q18" s="842">
        <v>3</v>
      </c>
      <c r="R18" s="842"/>
      <c r="S18" s="839">
        <v>2976.6</v>
      </c>
      <c r="T18" s="1008"/>
      <c r="U18" s="1009"/>
      <c r="V18" s="1010"/>
      <c r="W18" s="1008"/>
    </row>
    <row r="19" spans="1:23" ht="15.75" customHeight="1">
      <c r="A19" s="822">
        <v>11</v>
      </c>
      <c r="B19" s="817" t="s">
        <v>1718</v>
      </c>
      <c r="C19" s="838">
        <v>1932</v>
      </c>
      <c r="D19" s="839">
        <v>705.1999999999999</v>
      </c>
      <c r="E19" s="839">
        <v>1937.8999999999999</v>
      </c>
      <c r="F19" s="836">
        <v>100</v>
      </c>
      <c r="G19" s="836">
        <v>100</v>
      </c>
      <c r="H19" s="840">
        <v>15.2073732718894</v>
      </c>
      <c r="I19" s="838">
        <v>705.1999999999999</v>
      </c>
      <c r="J19" s="841">
        <v>100</v>
      </c>
      <c r="K19" s="841">
        <v>100</v>
      </c>
      <c r="L19" s="840">
        <v>0</v>
      </c>
      <c r="M19" s="839">
        <v>541</v>
      </c>
      <c r="N19" s="839">
        <v>536</v>
      </c>
      <c r="O19" s="842"/>
      <c r="P19" s="839">
        <v>0</v>
      </c>
      <c r="Q19" s="842">
        <v>7</v>
      </c>
      <c r="R19" s="842"/>
      <c r="S19" s="839">
        <v>1922.8999999999999</v>
      </c>
      <c r="T19" s="1008"/>
      <c r="U19" s="1009"/>
      <c r="V19" s="1010"/>
      <c r="W19" s="1008"/>
    </row>
    <row r="20" spans="1:23" ht="15.75" customHeight="1">
      <c r="A20" s="822">
        <v>12</v>
      </c>
      <c r="B20" s="817" t="s">
        <v>1719</v>
      </c>
      <c r="C20" s="838">
        <v>1613.1</v>
      </c>
      <c r="D20" s="839">
        <v>450.99999999999994</v>
      </c>
      <c r="E20" s="839">
        <v>1347.4999999999998</v>
      </c>
      <c r="F20" s="836">
        <v>83.12020460358056</v>
      </c>
      <c r="G20" s="836">
        <v>83.12020460358056</v>
      </c>
      <c r="H20" s="840">
        <v>22.249388753056234</v>
      </c>
      <c r="I20" s="838">
        <v>364.9</v>
      </c>
      <c r="J20" s="841">
        <v>80.9090909090909</v>
      </c>
      <c r="K20" s="841">
        <v>80.9090909090909</v>
      </c>
      <c r="L20" s="840">
        <v>19.090909090909093</v>
      </c>
      <c r="M20" s="839">
        <v>288</v>
      </c>
      <c r="N20" s="839">
        <v>288</v>
      </c>
      <c r="O20" s="842"/>
      <c r="P20" s="839">
        <v>377.2</v>
      </c>
      <c r="Q20" s="842">
        <v>4</v>
      </c>
      <c r="R20" s="842"/>
      <c r="S20" s="839">
        <v>955.3</v>
      </c>
      <c r="T20" s="1008"/>
      <c r="U20" s="1009"/>
      <c r="V20" s="1010"/>
      <c r="W20" s="1008"/>
    </row>
    <row r="21" spans="1:23" ht="15.75" customHeight="1">
      <c r="A21" s="822">
        <v>13</v>
      </c>
      <c r="B21" s="817" t="s">
        <v>1720</v>
      </c>
      <c r="C21" s="838">
        <v>715.1999999999999</v>
      </c>
      <c r="D21" s="839">
        <v>118.89999999999999</v>
      </c>
      <c r="E21" s="839">
        <v>720.1999999999999</v>
      </c>
      <c r="F21" s="836">
        <v>100</v>
      </c>
      <c r="G21" s="836">
        <v>100</v>
      </c>
      <c r="H21" s="840">
        <v>91.869918699187</v>
      </c>
      <c r="I21" s="838">
        <v>0</v>
      </c>
      <c r="J21" s="841">
        <v>0</v>
      </c>
      <c r="K21" s="841">
        <v>0</v>
      </c>
      <c r="L21" s="840">
        <v>100</v>
      </c>
      <c r="M21" s="839">
        <v>6</v>
      </c>
      <c r="N21" s="839">
        <v>6</v>
      </c>
      <c r="O21" s="842"/>
      <c r="P21" s="839">
        <v>647.8</v>
      </c>
      <c r="Q21" s="842">
        <v>4</v>
      </c>
      <c r="R21" s="842"/>
      <c r="S21" s="839">
        <v>57.39999999999999</v>
      </c>
      <c r="T21" s="1008"/>
      <c r="U21" s="1009"/>
      <c r="V21" s="1010"/>
      <c r="W21" s="1008"/>
    </row>
    <row r="22" spans="1:23" ht="15.75" customHeight="1">
      <c r="A22" s="822">
        <v>14</v>
      </c>
      <c r="B22" s="817" t="s">
        <v>1721</v>
      </c>
      <c r="C22" s="838">
        <v>2777.4999999999995</v>
      </c>
      <c r="D22" s="839">
        <v>303.4</v>
      </c>
      <c r="E22" s="839">
        <v>2780</v>
      </c>
      <c r="F22" s="836">
        <v>100</v>
      </c>
      <c r="G22" s="836">
        <v>100</v>
      </c>
      <c r="H22" s="840">
        <v>77.71467514766016</v>
      </c>
      <c r="I22" s="838">
        <v>303.4</v>
      </c>
      <c r="J22" s="841">
        <v>100</v>
      </c>
      <c r="K22" s="841">
        <v>100</v>
      </c>
      <c r="L22" s="840">
        <v>0</v>
      </c>
      <c r="M22" s="839">
        <v>587</v>
      </c>
      <c r="N22" s="839">
        <v>587</v>
      </c>
      <c r="O22" s="842">
        <v>0</v>
      </c>
      <c r="P22" s="839">
        <v>2000.7999999999997</v>
      </c>
      <c r="Q22" s="842">
        <v>6</v>
      </c>
      <c r="R22" s="842">
        <v>0</v>
      </c>
      <c r="S22" s="839">
        <v>766.6999999999999</v>
      </c>
      <c r="T22" s="1008"/>
      <c r="U22" s="1009"/>
      <c r="V22" s="1010"/>
      <c r="W22" s="1008"/>
    </row>
    <row r="23" spans="1:23" ht="15.75" customHeight="1">
      <c r="A23" s="822">
        <v>15</v>
      </c>
      <c r="B23" s="817" t="s">
        <v>1722</v>
      </c>
      <c r="C23" s="838">
        <v>2580</v>
      </c>
      <c r="D23" s="839">
        <v>127.1</v>
      </c>
      <c r="E23" s="839">
        <v>2585.7</v>
      </c>
      <c r="F23" s="836">
        <v>100</v>
      </c>
      <c r="G23" s="836">
        <v>100</v>
      </c>
      <c r="H23" s="840">
        <v>49.122807017543856</v>
      </c>
      <c r="I23" s="838">
        <v>0</v>
      </c>
      <c r="J23" s="841">
        <v>0</v>
      </c>
      <c r="K23" s="841">
        <v>0</v>
      </c>
      <c r="L23" s="840">
        <v>100</v>
      </c>
      <c r="M23" s="839">
        <v>513</v>
      </c>
      <c r="N23" s="839">
        <v>513</v>
      </c>
      <c r="O23" s="842">
        <v>0</v>
      </c>
      <c r="P23" s="839">
        <v>2279.6</v>
      </c>
      <c r="Q23" s="842">
        <v>6</v>
      </c>
      <c r="R23" s="842"/>
      <c r="S23" s="839">
        <v>291.09999999999997</v>
      </c>
      <c r="T23" s="1008"/>
      <c r="U23" s="1009"/>
      <c r="V23" s="1010"/>
      <c r="W23" s="1008"/>
    </row>
    <row r="24" spans="1:23" ht="15.75" customHeight="1">
      <c r="A24" s="822">
        <v>16</v>
      </c>
      <c r="B24" s="817" t="s">
        <v>1723</v>
      </c>
      <c r="C24" s="838">
        <v>3113.7</v>
      </c>
      <c r="D24" s="839">
        <v>1102.8999999999999</v>
      </c>
      <c r="E24" s="839">
        <v>2503.7</v>
      </c>
      <c r="F24" s="836">
        <v>80.18494055482167</v>
      </c>
      <c r="G24" s="836">
        <v>80.18494055482167</v>
      </c>
      <c r="H24" s="840">
        <v>35.77981651376147</v>
      </c>
      <c r="I24" s="838">
        <v>1102.8999999999999</v>
      </c>
      <c r="J24" s="841">
        <v>100</v>
      </c>
      <c r="K24" s="841">
        <v>100</v>
      </c>
      <c r="L24" s="840">
        <v>55.762081784386616</v>
      </c>
      <c r="M24" s="839">
        <v>282</v>
      </c>
      <c r="N24" s="839">
        <v>282</v>
      </c>
      <c r="O24" s="842"/>
      <c r="P24" s="839">
        <v>705.1999999999999</v>
      </c>
      <c r="Q24" s="842">
        <v>4</v>
      </c>
      <c r="R24" s="842"/>
      <c r="S24" s="839">
        <v>1783.4999999999998</v>
      </c>
      <c r="T24" s="1008"/>
      <c r="U24" s="1009"/>
      <c r="V24" s="1010"/>
      <c r="W24" s="1008"/>
    </row>
    <row r="25" spans="1:23" ht="15.75" customHeight="1">
      <c r="A25" s="833" t="s">
        <v>484</v>
      </c>
      <c r="B25" s="1485" t="s">
        <v>1677</v>
      </c>
      <c r="C25" s="1486"/>
      <c r="D25" s="839"/>
      <c r="E25" s="839"/>
      <c r="F25" s="836"/>
      <c r="G25" s="836"/>
      <c r="H25" s="840"/>
      <c r="I25" s="838"/>
      <c r="J25" s="841"/>
      <c r="K25" s="841"/>
      <c r="L25" s="840"/>
      <c r="M25" s="839"/>
      <c r="N25" s="839"/>
      <c r="O25" s="842"/>
      <c r="P25" s="839"/>
      <c r="Q25" s="842"/>
      <c r="R25" s="842"/>
      <c r="S25" s="839"/>
      <c r="T25" s="1008"/>
      <c r="U25" s="1009"/>
      <c r="V25" s="1010"/>
      <c r="W25" s="1008"/>
    </row>
    <row r="26" spans="1:23" ht="15.75" customHeight="1">
      <c r="A26" s="822">
        <v>17</v>
      </c>
      <c r="B26" s="817" t="s">
        <v>1724</v>
      </c>
      <c r="C26" s="838">
        <v>4253.5</v>
      </c>
      <c r="D26" s="839">
        <v>360.79999999999995</v>
      </c>
      <c r="E26" s="839">
        <v>3914.0999999999995</v>
      </c>
      <c r="F26" s="836">
        <v>91.88405797101449</v>
      </c>
      <c r="G26" s="836">
        <v>91.88405797101449</v>
      </c>
      <c r="H26" s="840">
        <v>22</v>
      </c>
      <c r="I26" s="838">
        <v>250.09999999999997</v>
      </c>
      <c r="J26" s="841">
        <v>69.31818181818183</v>
      </c>
      <c r="K26" s="841">
        <v>69.31818181818183</v>
      </c>
      <c r="L26" s="840">
        <v>68.18181818181817</v>
      </c>
      <c r="M26" s="839">
        <v>913</v>
      </c>
      <c r="N26" s="839">
        <v>891</v>
      </c>
      <c r="O26" s="842">
        <v>0</v>
      </c>
      <c r="P26" s="839">
        <v>762.5999999999999</v>
      </c>
      <c r="Q26" s="842">
        <v>2</v>
      </c>
      <c r="R26" s="842">
        <v>0</v>
      </c>
      <c r="S26" s="839">
        <v>3136.4999999999995</v>
      </c>
      <c r="T26" s="1008"/>
      <c r="U26" s="1009"/>
      <c r="V26" s="1010"/>
      <c r="W26" s="1008"/>
    </row>
    <row r="27" spans="1:23" ht="15.75" customHeight="1">
      <c r="A27" s="822">
        <v>18</v>
      </c>
      <c r="B27" s="817" t="s">
        <v>1725</v>
      </c>
      <c r="C27" s="838">
        <v>4150</v>
      </c>
      <c r="D27" s="839">
        <v>955.3</v>
      </c>
      <c r="E27" s="839">
        <v>4156</v>
      </c>
      <c r="F27" s="836">
        <v>100</v>
      </c>
      <c r="G27" s="836">
        <v>100</v>
      </c>
      <c r="H27" s="840">
        <v>25</v>
      </c>
      <c r="I27" s="838">
        <v>955.3</v>
      </c>
      <c r="J27" s="841">
        <v>100</v>
      </c>
      <c r="K27" s="841">
        <v>100</v>
      </c>
      <c r="L27" s="840">
        <v>64.37768240343348</v>
      </c>
      <c r="M27" s="839">
        <v>953</v>
      </c>
      <c r="N27" s="839">
        <v>953</v>
      </c>
      <c r="O27" s="842"/>
      <c r="P27" s="839">
        <v>1586.6999999999998</v>
      </c>
      <c r="Q27" s="842">
        <v>3</v>
      </c>
      <c r="R27" s="842"/>
      <c r="S27" s="839">
        <v>2554.2999999999997</v>
      </c>
      <c r="T27" s="1008"/>
      <c r="U27" s="1009"/>
      <c r="V27" s="1010"/>
      <c r="W27" s="1008"/>
    </row>
    <row r="28" spans="1:23" ht="15.75" customHeight="1">
      <c r="A28" s="822">
        <v>19</v>
      </c>
      <c r="B28" s="817" t="s">
        <v>1726</v>
      </c>
      <c r="C28" s="838">
        <v>1809.8999999999999</v>
      </c>
      <c r="D28" s="839">
        <v>389.49999999999994</v>
      </c>
      <c r="E28" s="839">
        <v>1814.8999999999999</v>
      </c>
      <c r="F28" s="836">
        <v>100</v>
      </c>
      <c r="G28" s="836">
        <v>100</v>
      </c>
      <c r="H28" s="840">
        <v>75</v>
      </c>
      <c r="I28" s="838">
        <v>389.49999999999994</v>
      </c>
      <c r="J28" s="841">
        <v>100</v>
      </c>
      <c r="K28" s="841">
        <v>100</v>
      </c>
      <c r="L28" s="840">
        <v>56.84210526315789</v>
      </c>
      <c r="M28" s="839">
        <v>420</v>
      </c>
      <c r="N28" s="839">
        <v>398</v>
      </c>
      <c r="O28" s="842"/>
      <c r="P28" s="839">
        <v>1701.4999999999998</v>
      </c>
      <c r="Q28" s="842">
        <v>1</v>
      </c>
      <c r="R28" s="842"/>
      <c r="S28" s="839">
        <v>98.39999999999999</v>
      </c>
      <c r="T28" s="1008"/>
      <c r="U28" s="1009"/>
      <c r="V28" s="1010"/>
      <c r="W28" s="1008"/>
    </row>
    <row r="29" spans="1:23" ht="15.75" customHeight="1">
      <c r="A29" s="822">
        <v>20</v>
      </c>
      <c r="B29" s="817" t="s">
        <v>1727</v>
      </c>
      <c r="C29" s="838">
        <v>2871.7999999999997</v>
      </c>
      <c r="D29" s="839">
        <v>192.7</v>
      </c>
      <c r="E29" s="839">
        <v>2876.7999999999997</v>
      </c>
      <c r="F29" s="836">
        <v>100</v>
      </c>
      <c r="G29" s="836">
        <v>100</v>
      </c>
      <c r="H29" s="840">
        <v>86.5909090909091</v>
      </c>
      <c r="I29" s="838">
        <v>192.7</v>
      </c>
      <c r="J29" s="841">
        <v>100</v>
      </c>
      <c r="K29" s="841">
        <v>100</v>
      </c>
      <c r="L29" s="840">
        <v>63.829787234042556</v>
      </c>
      <c r="M29" s="839">
        <v>37</v>
      </c>
      <c r="N29" s="839">
        <v>37</v>
      </c>
      <c r="O29" s="842"/>
      <c r="P29" s="839">
        <v>524.8</v>
      </c>
      <c r="Q29" s="842">
        <v>4</v>
      </c>
      <c r="R29" s="842"/>
      <c r="S29" s="839">
        <v>2337</v>
      </c>
      <c r="T29" s="1008"/>
      <c r="U29" s="1009"/>
      <c r="V29" s="1010"/>
      <c r="W29" s="1008"/>
    </row>
    <row r="30" spans="1:23" ht="16.5" customHeight="1">
      <c r="A30" s="822">
        <v>21</v>
      </c>
      <c r="B30" s="817" t="s">
        <v>1728</v>
      </c>
      <c r="C30" s="838">
        <v>3002.9999999999995</v>
      </c>
      <c r="D30" s="839">
        <v>491.99999999999994</v>
      </c>
      <c r="E30" s="839">
        <v>3007.9999999999995</v>
      </c>
      <c r="F30" s="836">
        <v>100</v>
      </c>
      <c r="G30" s="836">
        <v>100</v>
      </c>
      <c r="H30" s="840">
        <v>53.5919540229885</v>
      </c>
      <c r="I30" s="838">
        <v>491.99999999999994</v>
      </c>
      <c r="J30" s="841">
        <v>100</v>
      </c>
      <c r="K30" s="841">
        <v>100</v>
      </c>
      <c r="L30" s="840">
        <v>0</v>
      </c>
      <c r="M30" s="839">
        <v>540</v>
      </c>
      <c r="N30" s="839">
        <v>540</v>
      </c>
      <c r="O30" s="842"/>
      <c r="P30" s="839">
        <v>204.99999999999997</v>
      </c>
      <c r="Q30" s="842">
        <v>7</v>
      </c>
      <c r="R30" s="842"/>
      <c r="S30" s="839">
        <v>2787.9999999999995</v>
      </c>
      <c r="T30" s="1008"/>
      <c r="U30" s="1009"/>
      <c r="V30" s="1010"/>
      <c r="W30" s="1008"/>
    </row>
    <row r="31" spans="1:23" ht="16.5" customHeight="1">
      <c r="A31" s="822">
        <v>22</v>
      </c>
      <c r="B31" s="817" t="s">
        <v>1729</v>
      </c>
      <c r="C31" s="838">
        <v>2461.7999999999997</v>
      </c>
      <c r="D31" s="839">
        <v>188.6</v>
      </c>
      <c r="E31" s="839">
        <v>2466.7999999999997</v>
      </c>
      <c r="F31" s="836">
        <v>100</v>
      </c>
      <c r="G31" s="836">
        <v>100</v>
      </c>
      <c r="H31" s="840">
        <v>4.377564979480164</v>
      </c>
      <c r="I31" s="838">
        <v>184.49999999999997</v>
      </c>
      <c r="J31" s="841">
        <v>97.82608695652173</v>
      </c>
      <c r="K31" s="841">
        <v>97.82608695652173</v>
      </c>
      <c r="L31" s="840">
        <v>0</v>
      </c>
      <c r="M31" s="839">
        <v>686</v>
      </c>
      <c r="N31" s="839">
        <v>686</v>
      </c>
      <c r="O31" s="842"/>
      <c r="P31" s="839">
        <v>28.699999999999996</v>
      </c>
      <c r="Q31" s="842">
        <v>3</v>
      </c>
      <c r="R31" s="842"/>
      <c r="S31" s="839">
        <v>2423.1</v>
      </c>
      <c r="T31" s="1008"/>
      <c r="U31" s="1009"/>
      <c r="V31" s="1010"/>
      <c r="W31" s="1008"/>
    </row>
    <row r="32" spans="1:23" ht="16.5" customHeight="1">
      <c r="A32" s="822">
        <v>23</v>
      </c>
      <c r="B32" s="817" t="s">
        <v>1730</v>
      </c>
      <c r="C32" s="838">
        <v>1403.9999999999998</v>
      </c>
      <c r="D32" s="839">
        <v>164</v>
      </c>
      <c r="E32" s="839">
        <v>1408.9999999999998</v>
      </c>
      <c r="F32" s="836">
        <v>100</v>
      </c>
      <c r="G32" s="836">
        <v>100</v>
      </c>
      <c r="H32" s="840">
        <v>44</v>
      </c>
      <c r="I32" s="838">
        <v>164</v>
      </c>
      <c r="J32" s="841">
        <v>100</v>
      </c>
      <c r="K32" s="841">
        <v>100</v>
      </c>
      <c r="L32" s="840">
        <v>100</v>
      </c>
      <c r="M32" s="839">
        <v>540</v>
      </c>
      <c r="N32" s="839">
        <v>537</v>
      </c>
      <c r="O32" s="842"/>
      <c r="P32" s="839">
        <v>1352.9999999999998</v>
      </c>
      <c r="Q32" s="842">
        <v>2</v>
      </c>
      <c r="R32" s="842"/>
      <c r="S32" s="839">
        <v>41</v>
      </c>
      <c r="T32" s="1008"/>
      <c r="U32" s="1009"/>
      <c r="V32" s="1010"/>
      <c r="W32" s="1008"/>
    </row>
    <row r="33" spans="1:23" ht="16.5" customHeight="1">
      <c r="A33" s="822">
        <v>24</v>
      </c>
      <c r="B33" s="817" t="s">
        <v>1731</v>
      </c>
      <c r="C33" s="838">
        <v>4208.4</v>
      </c>
      <c r="D33" s="839">
        <v>401.79999999999995</v>
      </c>
      <c r="E33" s="839">
        <v>4213.4</v>
      </c>
      <c r="F33" s="836">
        <v>100</v>
      </c>
      <c r="G33" s="836">
        <v>100</v>
      </c>
      <c r="H33" s="840">
        <v>64.0117994100295</v>
      </c>
      <c r="I33" s="838">
        <v>147.6</v>
      </c>
      <c r="J33" s="841">
        <v>36.734693877551024</v>
      </c>
      <c r="K33" s="841">
        <v>36.734693877551024</v>
      </c>
      <c r="L33" s="840">
        <v>47</v>
      </c>
      <c r="M33" s="839">
        <v>60</v>
      </c>
      <c r="N33" s="839">
        <v>42</v>
      </c>
      <c r="O33" s="842"/>
      <c r="P33" s="839">
        <v>1820.3999999999999</v>
      </c>
      <c r="Q33" s="842">
        <v>4</v>
      </c>
      <c r="R33" s="842"/>
      <c r="S33" s="839">
        <v>2378</v>
      </c>
      <c r="T33" s="1008"/>
      <c r="U33" s="1009"/>
      <c r="V33" s="1010"/>
      <c r="W33" s="1008"/>
    </row>
    <row r="34" spans="1:23" ht="16.5" customHeight="1">
      <c r="A34" s="822">
        <v>25</v>
      </c>
      <c r="B34" s="817" t="s">
        <v>1732</v>
      </c>
      <c r="C34" s="838">
        <v>3207.9999999999995</v>
      </c>
      <c r="D34" s="839">
        <v>533</v>
      </c>
      <c r="E34" s="839">
        <v>3212.9999999999995</v>
      </c>
      <c r="F34" s="836">
        <v>100</v>
      </c>
      <c r="G34" s="836">
        <v>100</v>
      </c>
      <c r="H34" s="840">
        <v>31.317073170731707</v>
      </c>
      <c r="I34" s="838">
        <v>533</v>
      </c>
      <c r="J34" s="841">
        <v>100</v>
      </c>
      <c r="K34" s="841">
        <v>100</v>
      </c>
      <c r="L34" s="840">
        <v>0</v>
      </c>
      <c r="M34" s="839">
        <v>447</v>
      </c>
      <c r="N34" s="839">
        <v>432</v>
      </c>
      <c r="O34" s="842"/>
      <c r="P34" s="839">
        <v>1139.8</v>
      </c>
      <c r="Q34" s="842">
        <v>9</v>
      </c>
      <c r="R34" s="842"/>
      <c r="S34" s="839">
        <v>2058.2</v>
      </c>
      <c r="T34" s="1008"/>
      <c r="U34" s="1009"/>
      <c r="V34" s="1010"/>
      <c r="W34" s="1008"/>
    </row>
    <row r="35" spans="1:23" ht="16.5" customHeight="1">
      <c r="A35" s="822">
        <v>26</v>
      </c>
      <c r="B35" s="817" t="s">
        <v>1733</v>
      </c>
      <c r="C35" s="838">
        <v>1867.2999999999997</v>
      </c>
      <c r="D35" s="839">
        <v>549.4</v>
      </c>
      <c r="E35" s="839">
        <v>1441.8</v>
      </c>
      <c r="F35" s="836">
        <v>76.82119205298014</v>
      </c>
      <c r="G35" s="836">
        <v>76.82119205298014</v>
      </c>
      <c r="H35" s="840">
        <v>6.666666666666667</v>
      </c>
      <c r="I35" s="838">
        <v>323.9</v>
      </c>
      <c r="J35" s="841">
        <v>58.95522388059702</v>
      </c>
      <c r="K35" s="841">
        <v>58.95522388059702</v>
      </c>
      <c r="L35" s="840">
        <v>0</v>
      </c>
      <c r="M35" s="839">
        <v>695</v>
      </c>
      <c r="N35" s="839">
        <v>679</v>
      </c>
      <c r="O35" s="842"/>
      <c r="P35" s="839">
        <v>377.2</v>
      </c>
      <c r="Q35" s="842">
        <v>3</v>
      </c>
      <c r="R35" s="842"/>
      <c r="S35" s="839">
        <v>1049.6</v>
      </c>
      <c r="T35" s="1008"/>
      <c r="U35" s="1009"/>
      <c r="V35" s="1010"/>
      <c r="W35" s="1008"/>
    </row>
    <row r="36" spans="1:23" ht="16.5" customHeight="1">
      <c r="A36" s="822">
        <v>27</v>
      </c>
      <c r="B36" s="817" t="s">
        <v>1734</v>
      </c>
      <c r="C36" s="838">
        <v>2875.8999999999996</v>
      </c>
      <c r="D36" s="839">
        <v>832.3</v>
      </c>
      <c r="E36" s="839">
        <v>2876.7999999999997</v>
      </c>
      <c r="F36" s="836">
        <v>99.85693848354794</v>
      </c>
      <c r="G36" s="836">
        <v>99.85693848354794</v>
      </c>
      <c r="H36" s="840">
        <v>14.76510067114094</v>
      </c>
      <c r="I36" s="838">
        <v>737.9999999999999</v>
      </c>
      <c r="J36" s="841">
        <v>88.66995073891626</v>
      </c>
      <c r="K36" s="841">
        <v>88.66995073891626</v>
      </c>
      <c r="L36" s="840">
        <v>7.389162561576355</v>
      </c>
      <c r="M36" s="839">
        <v>368</v>
      </c>
      <c r="N36" s="839">
        <v>256</v>
      </c>
      <c r="O36" s="842"/>
      <c r="P36" s="839">
        <v>1525.1999999999998</v>
      </c>
      <c r="Q36" s="842">
        <v>6</v>
      </c>
      <c r="R36" s="842"/>
      <c r="S36" s="839">
        <v>1336.6</v>
      </c>
      <c r="T36" s="1008"/>
      <c r="U36" s="1009"/>
      <c r="V36" s="1010"/>
      <c r="W36" s="1008"/>
    </row>
    <row r="37" spans="1:23" ht="16.5" customHeight="1">
      <c r="A37" s="822">
        <v>28</v>
      </c>
      <c r="B37" s="817" t="s">
        <v>1735</v>
      </c>
      <c r="C37" s="838">
        <v>2499.7</v>
      </c>
      <c r="D37" s="839">
        <v>450.99999999999994</v>
      </c>
      <c r="E37" s="839">
        <v>2487.2999999999997</v>
      </c>
      <c r="F37" s="836">
        <v>99.34102141680395</v>
      </c>
      <c r="G37" s="836">
        <v>99.34102141680395</v>
      </c>
      <c r="H37" s="840">
        <v>18.31187410586552</v>
      </c>
      <c r="I37" s="838">
        <v>450.99999999999994</v>
      </c>
      <c r="J37" s="841">
        <v>100</v>
      </c>
      <c r="K37" s="841">
        <v>100</v>
      </c>
      <c r="L37" s="840">
        <v>0</v>
      </c>
      <c r="M37" s="839">
        <v>407</v>
      </c>
      <c r="N37" s="839">
        <v>407</v>
      </c>
      <c r="O37" s="842"/>
      <c r="P37" s="839">
        <v>151.7</v>
      </c>
      <c r="Q37" s="842">
        <v>12</v>
      </c>
      <c r="R37" s="842"/>
      <c r="S37" s="839">
        <v>2320.6</v>
      </c>
      <c r="T37" s="1008"/>
      <c r="U37" s="1009"/>
      <c r="V37" s="1010"/>
      <c r="W37" s="1008"/>
    </row>
    <row r="38" spans="1:23" ht="16.5" customHeight="1">
      <c r="A38" s="822">
        <v>29</v>
      </c>
      <c r="B38" s="817" t="s">
        <v>767</v>
      </c>
      <c r="C38" s="838">
        <v>1473.6999999999998</v>
      </c>
      <c r="D38" s="839">
        <v>766.6999999999999</v>
      </c>
      <c r="E38" s="839">
        <v>1441.8</v>
      </c>
      <c r="F38" s="836">
        <v>97.47899159663866</v>
      </c>
      <c r="G38" s="836">
        <v>97.47899159663866</v>
      </c>
      <c r="H38" s="840">
        <v>40</v>
      </c>
      <c r="I38" s="838">
        <v>729.8</v>
      </c>
      <c r="J38" s="841">
        <v>95.18716577540107</v>
      </c>
      <c r="K38" s="841">
        <v>95.18716577540107</v>
      </c>
      <c r="L38" s="840">
        <v>80.21390374331551</v>
      </c>
      <c r="M38" s="839">
        <v>518</v>
      </c>
      <c r="N38" s="839">
        <v>408</v>
      </c>
      <c r="O38" s="842"/>
      <c r="P38" s="839">
        <v>1275.1</v>
      </c>
      <c r="Q38" s="842">
        <v>1</v>
      </c>
      <c r="R38" s="842"/>
      <c r="S38" s="839">
        <v>151.7</v>
      </c>
      <c r="T38" s="1008"/>
      <c r="U38" s="1009"/>
      <c r="V38" s="1010"/>
      <c r="W38" s="1008"/>
    </row>
    <row r="39" spans="1:23" ht="16.5" customHeight="1">
      <c r="A39" s="833" t="s">
        <v>496</v>
      </c>
      <c r="B39" s="1485" t="s">
        <v>1736</v>
      </c>
      <c r="C39" s="1486"/>
      <c r="D39" s="839"/>
      <c r="E39" s="839"/>
      <c r="F39" s="836"/>
      <c r="G39" s="836"/>
      <c r="H39" s="840"/>
      <c r="I39" s="838"/>
      <c r="J39" s="841"/>
      <c r="K39" s="841"/>
      <c r="L39" s="840"/>
      <c r="M39" s="839"/>
      <c r="N39" s="839"/>
      <c r="O39" s="842"/>
      <c r="P39" s="839"/>
      <c r="Q39" s="842"/>
      <c r="R39" s="842"/>
      <c r="S39" s="839"/>
      <c r="T39" s="1008"/>
      <c r="U39" s="1009"/>
      <c r="V39" s="1010"/>
      <c r="W39" s="1008"/>
    </row>
    <row r="40" spans="1:23" ht="16.5" customHeight="1">
      <c r="A40" s="822">
        <v>30</v>
      </c>
      <c r="B40" s="817" t="s">
        <v>1737</v>
      </c>
      <c r="C40" s="838">
        <v>900.5999999999999</v>
      </c>
      <c r="D40" s="839">
        <v>196.79999999999998</v>
      </c>
      <c r="E40" s="839">
        <v>916</v>
      </c>
      <c r="F40" s="835">
        <v>100</v>
      </c>
      <c r="G40" s="835">
        <v>100</v>
      </c>
      <c r="H40" s="1011">
        <v>82.4074074074074</v>
      </c>
      <c r="I40" s="838">
        <v>176.29999999999998</v>
      </c>
      <c r="J40" s="841">
        <v>89.58333333333334</v>
      </c>
      <c r="K40" s="841">
        <v>89.58333333333334</v>
      </c>
      <c r="L40" s="840">
        <v>10.416666666666668</v>
      </c>
      <c r="M40" s="839"/>
      <c r="N40" s="839"/>
      <c r="O40" s="842"/>
      <c r="P40" s="839">
        <v>729.8</v>
      </c>
      <c r="Q40" s="842"/>
      <c r="R40" s="842"/>
      <c r="S40" s="839">
        <v>155.79999999999998</v>
      </c>
      <c r="T40" s="1008"/>
      <c r="U40" s="1009"/>
      <c r="V40" s="1010"/>
      <c r="W40" s="1008"/>
    </row>
    <row r="41" spans="1:23" ht="16.5" customHeight="1">
      <c r="A41" s="822">
        <v>31</v>
      </c>
      <c r="B41" s="817" t="s">
        <v>1738</v>
      </c>
      <c r="C41" s="838">
        <v>1839.4999999999998</v>
      </c>
      <c r="D41" s="839">
        <v>352.59999999999997</v>
      </c>
      <c r="E41" s="839">
        <v>1855</v>
      </c>
      <c r="F41" s="835">
        <v>100</v>
      </c>
      <c r="G41" s="835">
        <v>100</v>
      </c>
      <c r="H41" s="1011">
        <v>31.685393258426963</v>
      </c>
      <c r="I41" s="838">
        <v>352.59999999999997</v>
      </c>
      <c r="J41" s="841">
        <v>100</v>
      </c>
      <c r="K41" s="841">
        <v>100</v>
      </c>
      <c r="L41" s="840">
        <v>0</v>
      </c>
      <c r="M41" s="839">
        <v>7</v>
      </c>
      <c r="N41" s="839">
        <v>7</v>
      </c>
      <c r="O41" s="842"/>
      <c r="P41" s="839">
        <v>947.0999999999999</v>
      </c>
      <c r="Q41" s="842">
        <v>4</v>
      </c>
      <c r="R41" s="842"/>
      <c r="S41" s="839">
        <v>877.4</v>
      </c>
      <c r="T41" s="1008"/>
      <c r="U41" s="1009"/>
      <c r="V41" s="1010"/>
      <c r="W41" s="1008"/>
    </row>
    <row r="42" spans="1:23" ht="16.5" customHeight="1">
      <c r="A42" s="822">
        <v>32</v>
      </c>
      <c r="B42" s="817" t="s">
        <v>1739</v>
      </c>
      <c r="C42" s="838">
        <v>2766.1</v>
      </c>
      <c r="D42" s="839">
        <v>656</v>
      </c>
      <c r="E42" s="839">
        <v>2781</v>
      </c>
      <c r="F42" s="835">
        <v>100</v>
      </c>
      <c r="G42" s="835">
        <v>100</v>
      </c>
      <c r="H42" s="1011">
        <v>100</v>
      </c>
      <c r="I42" s="838">
        <v>656</v>
      </c>
      <c r="J42" s="841">
        <v>100</v>
      </c>
      <c r="K42" s="841">
        <v>100</v>
      </c>
      <c r="L42" s="840">
        <v>37.5</v>
      </c>
      <c r="M42" s="839">
        <v>576</v>
      </c>
      <c r="N42" s="839">
        <v>576</v>
      </c>
      <c r="O42" s="842"/>
      <c r="P42" s="839">
        <v>2751.1</v>
      </c>
      <c r="Q42" s="842">
        <v>1</v>
      </c>
      <c r="R42" s="842"/>
      <c r="S42" s="839">
        <v>0</v>
      </c>
      <c r="T42" s="1008"/>
      <c r="U42" s="1009"/>
      <c r="V42" s="1010"/>
      <c r="W42" s="1008"/>
    </row>
    <row r="43" spans="1:23" ht="16.5" customHeight="1">
      <c r="A43" s="822">
        <v>33</v>
      </c>
      <c r="B43" s="817" t="s">
        <v>1740</v>
      </c>
      <c r="C43" s="838">
        <v>2134.7</v>
      </c>
      <c r="D43" s="839">
        <v>106.6</v>
      </c>
      <c r="E43" s="839">
        <v>2077.2999999999997</v>
      </c>
      <c r="F43" s="835">
        <v>97.29206963249516</v>
      </c>
      <c r="G43" s="835">
        <v>97.29206963249516</v>
      </c>
      <c r="H43" s="1011">
        <v>71.1798839458414</v>
      </c>
      <c r="I43" s="838">
        <v>98.39999999999999</v>
      </c>
      <c r="J43" s="841">
        <v>92.3076923076923</v>
      </c>
      <c r="K43" s="841">
        <v>92.3076923076923</v>
      </c>
      <c r="L43" s="840">
        <v>76.92307692307693</v>
      </c>
      <c r="M43" s="839">
        <v>376</v>
      </c>
      <c r="N43" s="839">
        <v>300</v>
      </c>
      <c r="O43" s="842"/>
      <c r="P43" s="839">
        <v>0</v>
      </c>
      <c r="Q43" s="842">
        <v>6</v>
      </c>
      <c r="R43" s="842"/>
      <c r="S43" s="839">
        <v>2062.2999999999997</v>
      </c>
      <c r="T43" s="1008"/>
      <c r="U43" s="1009"/>
      <c r="V43" s="1010"/>
      <c r="W43" s="1008"/>
    </row>
    <row r="44" spans="1:23" ht="16.5" customHeight="1">
      <c r="A44" s="822">
        <v>34</v>
      </c>
      <c r="B44" s="817" t="s">
        <v>1741</v>
      </c>
      <c r="C44" s="838">
        <v>2155.2</v>
      </c>
      <c r="D44" s="839">
        <v>766.6999999999999</v>
      </c>
      <c r="E44" s="839">
        <v>2155.2</v>
      </c>
      <c r="F44" s="835">
        <v>100</v>
      </c>
      <c r="G44" s="835">
        <v>100</v>
      </c>
      <c r="H44" s="1011">
        <v>21.0727969348659</v>
      </c>
      <c r="I44" s="838">
        <v>766.6999999999999</v>
      </c>
      <c r="J44" s="841">
        <v>100</v>
      </c>
      <c r="K44" s="841">
        <v>100</v>
      </c>
      <c r="L44" s="840">
        <v>0</v>
      </c>
      <c r="M44" s="839">
        <v>110</v>
      </c>
      <c r="N44" s="839">
        <v>105</v>
      </c>
      <c r="O44" s="842"/>
      <c r="P44" s="839">
        <v>951.1999999999999</v>
      </c>
      <c r="Q44" s="842">
        <v>10</v>
      </c>
      <c r="R44" s="842"/>
      <c r="S44" s="839">
        <v>1189</v>
      </c>
      <c r="T44" s="1008"/>
      <c r="U44" s="1009"/>
      <c r="V44" s="1010"/>
      <c r="W44" s="1008"/>
    </row>
    <row r="45" spans="1:23" ht="16.5" customHeight="1">
      <c r="A45" s="822">
        <v>35</v>
      </c>
      <c r="B45" s="817" t="s">
        <v>1742</v>
      </c>
      <c r="C45" s="838">
        <v>3893.5999999999995</v>
      </c>
      <c r="D45" s="839">
        <v>393.59999999999997</v>
      </c>
      <c r="E45" s="839">
        <v>3885.3999999999996</v>
      </c>
      <c r="F45" s="835">
        <v>99.78858350951374</v>
      </c>
      <c r="G45" s="835">
        <v>99.78858350951374</v>
      </c>
      <c r="H45" s="1011">
        <v>13.21353065539112</v>
      </c>
      <c r="I45" s="838">
        <v>393.59999999999997</v>
      </c>
      <c r="J45" s="841">
        <v>100</v>
      </c>
      <c r="K45" s="841">
        <v>100</v>
      </c>
      <c r="L45" s="840">
        <v>0</v>
      </c>
      <c r="M45" s="839">
        <v>892</v>
      </c>
      <c r="N45" s="839">
        <v>871</v>
      </c>
      <c r="O45" s="842"/>
      <c r="P45" s="839">
        <v>860.9999999999999</v>
      </c>
      <c r="Q45" s="842">
        <v>3</v>
      </c>
      <c r="R45" s="842"/>
      <c r="S45" s="839">
        <v>3009.3999999999996</v>
      </c>
      <c r="T45" s="1008"/>
      <c r="U45" s="1009"/>
      <c r="V45" s="1010"/>
      <c r="W45" s="1008"/>
    </row>
    <row r="46" spans="1:23" ht="16.5" customHeight="1">
      <c r="A46" s="822">
        <v>36</v>
      </c>
      <c r="B46" s="817" t="s">
        <v>1743</v>
      </c>
      <c r="C46" s="838">
        <v>4246.2</v>
      </c>
      <c r="D46" s="839">
        <v>245.99999999999997</v>
      </c>
      <c r="E46" s="839">
        <v>4073.9999999999995</v>
      </c>
      <c r="F46" s="835">
        <v>95.93023255813952</v>
      </c>
      <c r="G46" s="835">
        <v>95.93023255813952</v>
      </c>
      <c r="H46" s="1011">
        <v>61.04651162790697</v>
      </c>
      <c r="I46" s="838">
        <v>86.1</v>
      </c>
      <c r="J46" s="841">
        <v>35</v>
      </c>
      <c r="K46" s="841">
        <v>35</v>
      </c>
      <c r="L46" s="840">
        <v>50</v>
      </c>
      <c r="M46" s="839">
        <v>0</v>
      </c>
      <c r="N46" s="839">
        <v>0</v>
      </c>
      <c r="O46" s="842"/>
      <c r="P46" s="839">
        <v>450.99999999999994</v>
      </c>
      <c r="Q46" s="842">
        <v>4</v>
      </c>
      <c r="R46" s="842"/>
      <c r="S46" s="839">
        <v>3607.9999999999995</v>
      </c>
      <c r="T46" s="1008"/>
      <c r="U46" s="1009"/>
      <c r="V46" s="1010"/>
      <c r="W46" s="1008"/>
    </row>
    <row r="47" spans="1:23" ht="16.5" customHeight="1">
      <c r="A47" s="822">
        <v>37</v>
      </c>
      <c r="B47" s="817" t="s">
        <v>1744</v>
      </c>
      <c r="C47" s="838">
        <v>2442.2</v>
      </c>
      <c r="D47" s="839">
        <v>631.4</v>
      </c>
      <c r="E47" s="839">
        <v>2442.2</v>
      </c>
      <c r="F47" s="835">
        <v>100</v>
      </c>
      <c r="G47" s="835">
        <v>100</v>
      </c>
      <c r="H47" s="1011">
        <v>92.56756756756756</v>
      </c>
      <c r="I47" s="838">
        <v>631.4</v>
      </c>
      <c r="J47" s="841">
        <v>100</v>
      </c>
      <c r="K47" s="841">
        <v>100</v>
      </c>
      <c r="L47" s="840">
        <v>100</v>
      </c>
      <c r="M47" s="839">
        <v>225</v>
      </c>
      <c r="N47" s="839">
        <v>225</v>
      </c>
      <c r="O47" s="842"/>
      <c r="P47" s="839">
        <v>2246.7999999999997</v>
      </c>
      <c r="Q47" s="842">
        <v>5</v>
      </c>
      <c r="R47" s="842"/>
      <c r="S47" s="839">
        <v>180.39999999999998</v>
      </c>
      <c r="T47" s="1008"/>
      <c r="U47" s="1009"/>
      <c r="V47" s="1010"/>
      <c r="W47" s="1008"/>
    </row>
    <row r="48" spans="1:23" ht="16.5" customHeight="1">
      <c r="A48" s="822">
        <v>38</v>
      </c>
      <c r="B48" s="817" t="s">
        <v>1745</v>
      </c>
      <c r="C48" s="838">
        <v>2286.3999999999996</v>
      </c>
      <c r="D48" s="839">
        <v>815.9</v>
      </c>
      <c r="E48" s="839">
        <v>2286.3999999999996</v>
      </c>
      <c r="F48" s="835">
        <v>100</v>
      </c>
      <c r="G48" s="835">
        <v>100</v>
      </c>
      <c r="H48" s="1011">
        <v>94.04332129963899</v>
      </c>
      <c r="I48" s="838">
        <v>815.9</v>
      </c>
      <c r="J48" s="841">
        <v>100</v>
      </c>
      <c r="K48" s="841">
        <v>100</v>
      </c>
      <c r="L48" s="840">
        <v>20.100502512562816</v>
      </c>
      <c r="M48" s="839">
        <v>341</v>
      </c>
      <c r="N48" s="839">
        <v>341</v>
      </c>
      <c r="O48" s="842"/>
      <c r="P48" s="839">
        <v>2136.1</v>
      </c>
      <c r="Q48" s="842">
        <v>6</v>
      </c>
      <c r="R48" s="842"/>
      <c r="S48" s="839">
        <v>135.29999999999998</v>
      </c>
      <c r="T48" s="1008"/>
      <c r="U48" s="1009"/>
      <c r="V48" s="1010"/>
      <c r="W48" s="1008"/>
    </row>
    <row r="49" spans="1:23" ht="16.5" customHeight="1">
      <c r="A49" s="822">
        <v>39</v>
      </c>
      <c r="B49" s="817" t="s">
        <v>1746</v>
      </c>
      <c r="C49" s="838">
        <v>1794.3999999999999</v>
      </c>
      <c r="D49" s="839">
        <v>598.5999999999999</v>
      </c>
      <c r="E49" s="839">
        <v>1794.3999999999999</v>
      </c>
      <c r="F49" s="835">
        <v>100</v>
      </c>
      <c r="G49" s="835">
        <v>100</v>
      </c>
      <c r="H49" s="1011">
        <v>81.10599078341014</v>
      </c>
      <c r="I49" s="838">
        <v>565.8</v>
      </c>
      <c r="J49" s="841">
        <v>94.52054794520548</v>
      </c>
      <c r="K49" s="841">
        <v>94.52054794520548</v>
      </c>
      <c r="L49" s="840">
        <v>8.21917808219178</v>
      </c>
      <c r="M49" s="839">
        <v>449</v>
      </c>
      <c r="N49" s="839">
        <v>449</v>
      </c>
      <c r="O49" s="842"/>
      <c r="P49" s="839">
        <v>1443.1999999999998</v>
      </c>
      <c r="Q49" s="842">
        <v>3</v>
      </c>
      <c r="R49" s="842"/>
      <c r="S49" s="839">
        <v>336.2</v>
      </c>
      <c r="T49" s="1008"/>
      <c r="U49" s="1009"/>
      <c r="V49" s="1010"/>
      <c r="W49" s="1008"/>
    </row>
    <row r="50" spans="1:23" ht="16.5" customHeight="1">
      <c r="A50" s="822">
        <v>40</v>
      </c>
      <c r="B50" s="817" t="s">
        <v>1747</v>
      </c>
      <c r="C50" s="838">
        <v>2475</v>
      </c>
      <c r="D50" s="839">
        <v>147.6</v>
      </c>
      <c r="E50" s="839">
        <v>2475</v>
      </c>
      <c r="F50" s="835">
        <v>100</v>
      </c>
      <c r="G50" s="835">
        <v>100</v>
      </c>
      <c r="H50" s="1011">
        <v>57.333333333333336</v>
      </c>
      <c r="I50" s="838">
        <v>147.6</v>
      </c>
      <c r="J50" s="841">
        <v>100</v>
      </c>
      <c r="K50" s="841">
        <v>100</v>
      </c>
      <c r="L50" s="840">
        <v>55.55555555555556</v>
      </c>
      <c r="M50" s="839">
        <v>175</v>
      </c>
      <c r="N50" s="839">
        <v>175</v>
      </c>
      <c r="O50" s="842"/>
      <c r="P50" s="839">
        <v>98.39999999999999</v>
      </c>
      <c r="Q50" s="842">
        <v>8</v>
      </c>
      <c r="R50" s="842"/>
      <c r="S50" s="839">
        <v>2361.6</v>
      </c>
      <c r="T50" s="1008"/>
      <c r="U50" s="1009"/>
      <c r="V50" s="1010"/>
      <c r="W50" s="1008"/>
    </row>
    <row r="51" spans="1:23" ht="16.5" customHeight="1">
      <c r="A51" s="822">
        <v>41</v>
      </c>
      <c r="B51" s="817" t="s">
        <v>1748</v>
      </c>
      <c r="C51" s="838">
        <v>2052.7</v>
      </c>
      <c r="D51" s="839">
        <v>147.6</v>
      </c>
      <c r="E51" s="839">
        <v>1933.7999999999997</v>
      </c>
      <c r="F51" s="835">
        <v>94.16498993963782</v>
      </c>
      <c r="G51" s="835">
        <v>94.16498993963782</v>
      </c>
      <c r="H51" s="1011">
        <v>70.4225352112676</v>
      </c>
      <c r="I51" s="838">
        <v>147.6</v>
      </c>
      <c r="J51" s="841">
        <v>100</v>
      </c>
      <c r="K51" s="841">
        <v>100</v>
      </c>
      <c r="L51" s="840">
        <v>41.66666666666667</v>
      </c>
      <c r="M51" s="839">
        <v>723</v>
      </c>
      <c r="N51" s="839">
        <v>708</v>
      </c>
      <c r="O51" s="842">
        <v>0</v>
      </c>
      <c r="P51" s="839">
        <v>889.6999999999999</v>
      </c>
      <c r="Q51" s="842">
        <v>4</v>
      </c>
      <c r="R51" s="842">
        <v>0</v>
      </c>
      <c r="S51" s="839">
        <v>1029.1</v>
      </c>
      <c r="T51" s="1008"/>
      <c r="U51" s="1009"/>
      <c r="V51" s="1010"/>
      <c r="W51" s="1008"/>
    </row>
    <row r="52" spans="1:23" ht="16.5" customHeight="1">
      <c r="A52" s="822">
        <v>42</v>
      </c>
      <c r="B52" s="817" t="s">
        <v>1749</v>
      </c>
      <c r="C52" s="838">
        <v>2544.7</v>
      </c>
      <c r="D52" s="839">
        <v>619.0999999999999</v>
      </c>
      <c r="E52" s="839">
        <v>2511.8999999999996</v>
      </c>
      <c r="F52" s="835">
        <v>98.7034035656402</v>
      </c>
      <c r="G52" s="835">
        <v>98.7034035656402</v>
      </c>
      <c r="H52" s="1011">
        <v>71.47487844408428</v>
      </c>
      <c r="I52" s="838">
        <v>594.5</v>
      </c>
      <c r="J52" s="841">
        <v>96.02649006622516</v>
      </c>
      <c r="K52" s="841">
        <v>96.02649006622516</v>
      </c>
      <c r="L52" s="840">
        <v>13.245033112582782</v>
      </c>
      <c r="M52" s="839">
        <v>167</v>
      </c>
      <c r="N52" s="839">
        <v>167</v>
      </c>
      <c r="O52" s="842"/>
      <c r="P52" s="839">
        <v>1808.1</v>
      </c>
      <c r="Q52" s="842">
        <v>6</v>
      </c>
      <c r="R52" s="842"/>
      <c r="S52" s="839">
        <v>688.8</v>
      </c>
      <c r="T52" s="1008"/>
      <c r="U52" s="1009"/>
      <c r="V52" s="1010"/>
      <c r="W52" s="1008"/>
    </row>
    <row r="53" spans="1:23" ht="16.5" customHeight="1">
      <c r="A53" s="833" t="s">
        <v>498</v>
      </c>
      <c r="B53" s="1497" t="s">
        <v>1658</v>
      </c>
      <c r="C53" s="1498"/>
      <c r="D53" s="839"/>
      <c r="E53" s="839"/>
      <c r="F53" s="836"/>
      <c r="G53" s="836"/>
      <c r="H53" s="840"/>
      <c r="I53" s="838"/>
      <c r="J53" s="841"/>
      <c r="K53" s="841"/>
      <c r="L53" s="840"/>
      <c r="M53" s="839"/>
      <c r="N53" s="839"/>
      <c r="O53" s="842"/>
      <c r="P53" s="839"/>
      <c r="Q53" s="842"/>
      <c r="R53" s="842"/>
      <c r="S53" s="839"/>
      <c r="T53" s="1008"/>
      <c r="U53" s="1009"/>
      <c r="V53" s="1010"/>
      <c r="W53" s="1008"/>
    </row>
    <row r="54" spans="1:23" ht="16.5" customHeight="1">
      <c r="A54" s="843">
        <v>43</v>
      </c>
      <c r="B54" s="818" t="s">
        <v>1750</v>
      </c>
      <c r="C54" s="838">
        <v>1717.6</v>
      </c>
      <c r="D54" s="839">
        <v>549.4</v>
      </c>
      <c r="E54" s="839">
        <v>1720.6</v>
      </c>
      <c r="F54" s="835">
        <v>100</v>
      </c>
      <c r="G54" s="835">
        <v>100</v>
      </c>
      <c r="H54" s="840">
        <v>82.6923076923077</v>
      </c>
      <c r="I54" s="838">
        <v>533</v>
      </c>
      <c r="J54" s="841">
        <v>97.01492537313433</v>
      </c>
      <c r="K54" s="841">
        <v>97.01492537313433</v>
      </c>
      <c r="L54" s="840">
        <v>22.388059701492537</v>
      </c>
      <c r="M54" s="839"/>
      <c r="N54" s="839"/>
      <c r="O54" s="842"/>
      <c r="P54" s="839">
        <v>1488.3</v>
      </c>
      <c r="Q54" s="842"/>
      <c r="R54" s="842"/>
      <c r="S54" s="839">
        <v>217.29999999999998</v>
      </c>
      <c r="T54" s="1008"/>
      <c r="U54" s="1009"/>
      <c r="V54" s="1010"/>
      <c r="W54" s="1008"/>
    </row>
    <row r="55" spans="1:23" ht="16.5" customHeight="1">
      <c r="A55" s="843">
        <v>44</v>
      </c>
      <c r="B55" s="818" t="s">
        <v>1751</v>
      </c>
      <c r="C55" s="838">
        <v>1889.7999999999997</v>
      </c>
      <c r="D55" s="839">
        <v>86.1</v>
      </c>
      <c r="E55" s="839">
        <v>1544.3</v>
      </c>
      <c r="F55" s="835">
        <v>81.44104803493451</v>
      </c>
      <c r="G55" s="835">
        <v>81.44104803493451</v>
      </c>
      <c r="H55" s="840">
        <v>17.685589519650655</v>
      </c>
      <c r="I55" s="838">
        <v>12.299999999999999</v>
      </c>
      <c r="J55" s="841">
        <v>14.285714285714285</v>
      </c>
      <c r="K55" s="841">
        <v>14.285714285714285</v>
      </c>
      <c r="L55" s="840">
        <v>57.14285714285714</v>
      </c>
      <c r="M55" s="839">
        <v>391</v>
      </c>
      <c r="N55" s="839">
        <v>391</v>
      </c>
      <c r="O55" s="842"/>
      <c r="P55" s="839">
        <v>332.09999999999997</v>
      </c>
      <c r="Q55" s="842">
        <v>4</v>
      </c>
      <c r="R55" s="842"/>
      <c r="S55" s="839">
        <v>1197.1999999999998</v>
      </c>
      <c r="T55" s="1008"/>
      <c r="U55" s="1009"/>
      <c r="V55" s="1010"/>
      <c r="W55" s="1008"/>
    </row>
    <row r="56" spans="1:23" ht="16.5" customHeight="1">
      <c r="A56" s="822">
        <v>45</v>
      </c>
      <c r="B56" s="817" t="s">
        <v>1752</v>
      </c>
      <c r="C56" s="838">
        <v>2554</v>
      </c>
      <c r="D56" s="839">
        <v>610.9</v>
      </c>
      <c r="E56" s="839">
        <v>2557</v>
      </c>
      <c r="F56" s="835">
        <v>100</v>
      </c>
      <c r="G56" s="835">
        <v>100</v>
      </c>
      <c r="H56" s="840">
        <v>45.322580645161295</v>
      </c>
      <c r="I56" s="838">
        <v>537.0999999999999</v>
      </c>
      <c r="J56" s="841">
        <v>87.91946308724832</v>
      </c>
      <c r="K56" s="841">
        <v>87.91946308724832</v>
      </c>
      <c r="L56" s="840">
        <v>12.080536912751679</v>
      </c>
      <c r="M56" s="839">
        <v>376</v>
      </c>
      <c r="N56" s="839">
        <v>291</v>
      </c>
      <c r="O56" s="842"/>
      <c r="P56" s="839">
        <v>1152.1</v>
      </c>
      <c r="Q56" s="842">
        <v>1</v>
      </c>
      <c r="R56" s="842"/>
      <c r="S56" s="839">
        <v>1389.8999999999999</v>
      </c>
      <c r="T56" s="1008"/>
      <c r="U56" s="1009"/>
      <c r="V56" s="1010"/>
      <c r="W56" s="1008"/>
    </row>
    <row r="57" spans="1:23" ht="16.5" customHeight="1">
      <c r="A57" s="822">
        <v>46</v>
      </c>
      <c r="B57" s="817" t="s">
        <v>1753</v>
      </c>
      <c r="C57" s="838">
        <v>3289.7</v>
      </c>
      <c r="D57" s="839">
        <v>1057.8</v>
      </c>
      <c r="E57" s="839">
        <v>3151.4999999999995</v>
      </c>
      <c r="F57" s="835">
        <v>95.98494353826851</v>
      </c>
      <c r="G57" s="835">
        <v>95.98494353826851</v>
      </c>
      <c r="H57" s="840">
        <v>82.1831869510665</v>
      </c>
      <c r="I57" s="838">
        <v>1057.8</v>
      </c>
      <c r="J57" s="841">
        <v>100</v>
      </c>
      <c r="K57" s="841">
        <v>100</v>
      </c>
      <c r="L57" s="840">
        <v>100</v>
      </c>
      <c r="M57" s="839">
        <v>493</v>
      </c>
      <c r="N57" s="839">
        <v>439</v>
      </c>
      <c r="O57" s="842"/>
      <c r="P57" s="839">
        <v>1045.5</v>
      </c>
      <c r="Q57" s="842">
        <v>6</v>
      </c>
      <c r="R57" s="842"/>
      <c r="S57" s="839">
        <v>2091</v>
      </c>
      <c r="T57" s="1008"/>
      <c r="U57" s="1009"/>
      <c r="V57" s="1010"/>
      <c r="W57" s="1008"/>
    </row>
    <row r="58" spans="1:23" ht="16.5" customHeight="1">
      <c r="A58" s="822">
        <v>47</v>
      </c>
      <c r="B58" s="817" t="s">
        <v>1754</v>
      </c>
      <c r="C58" s="838">
        <v>2188.1</v>
      </c>
      <c r="D58" s="839">
        <v>455.09999999999997</v>
      </c>
      <c r="E58" s="839">
        <v>2192.1</v>
      </c>
      <c r="F58" s="835">
        <v>100</v>
      </c>
      <c r="G58" s="835">
        <v>100</v>
      </c>
      <c r="H58" s="840">
        <v>76.08286252354048</v>
      </c>
      <c r="I58" s="838">
        <v>455.09999999999997</v>
      </c>
      <c r="J58" s="841">
        <v>100</v>
      </c>
      <c r="K58" s="841">
        <v>100</v>
      </c>
      <c r="L58" s="840">
        <v>0</v>
      </c>
      <c r="M58" s="839">
        <v>580</v>
      </c>
      <c r="N58" s="839">
        <v>580</v>
      </c>
      <c r="O58" s="842"/>
      <c r="P58" s="839">
        <v>254.2</v>
      </c>
      <c r="Q58" s="842">
        <v>8</v>
      </c>
      <c r="R58" s="842"/>
      <c r="S58" s="839">
        <v>1922.8999999999999</v>
      </c>
      <c r="T58" s="1008"/>
      <c r="U58" s="1009"/>
      <c r="V58" s="1010"/>
      <c r="W58" s="1008"/>
    </row>
    <row r="59" spans="1:23" ht="16.5" customHeight="1">
      <c r="A59" s="822">
        <v>48</v>
      </c>
      <c r="B59" s="817" t="s">
        <v>1755</v>
      </c>
      <c r="C59" s="838">
        <v>2422.7999999999997</v>
      </c>
      <c r="D59" s="839">
        <v>147.6</v>
      </c>
      <c r="E59" s="839">
        <v>2421.7</v>
      </c>
      <c r="F59" s="835">
        <v>99.82993197278913</v>
      </c>
      <c r="G59" s="835">
        <v>99.82993197278913</v>
      </c>
      <c r="H59" s="840">
        <v>8.503401360544217</v>
      </c>
      <c r="I59" s="838">
        <v>94.3</v>
      </c>
      <c r="J59" s="841">
        <v>63.888888888888886</v>
      </c>
      <c r="K59" s="841">
        <v>63.888888888888886</v>
      </c>
      <c r="L59" s="840">
        <v>0</v>
      </c>
      <c r="M59" s="839">
        <v>370</v>
      </c>
      <c r="N59" s="839">
        <v>360</v>
      </c>
      <c r="O59" s="842"/>
      <c r="P59" s="839">
        <v>947.0999999999999</v>
      </c>
      <c r="Q59" s="842">
        <v>7</v>
      </c>
      <c r="R59" s="842"/>
      <c r="S59" s="839">
        <v>1459.6</v>
      </c>
      <c r="T59" s="1008"/>
      <c r="U59" s="1009"/>
      <c r="V59" s="1010"/>
      <c r="W59" s="1008"/>
    </row>
    <row r="60" spans="1:23" ht="16.5" customHeight="1">
      <c r="A60" s="822">
        <v>49</v>
      </c>
      <c r="B60" s="817" t="s">
        <v>1756</v>
      </c>
      <c r="C60" s="838">
        <v>3966.2</v>
      </c>
      <c r="D60" s="839">
        <v>303.4</v>
      </c>
      <c r="E60" s="839">
        <v>3959.2</v>
      </c>
      <c r="F60" s="835">
        <v>100</v>
      </c>
      <c r="G60" s="835">
        <v>100</v>
      </c>
      <c r="H60" s="840">
        <v>48.44074844074844</v>
      </c>
      <c r="I60" s="838">
        <v>303.4</v>
      </c>
      <c r="J60" s="841">
        <v>100</v>
      </c>
      <c r="K60" s="841">
        <v>100</v>
      </c>
      <c r="L60" s="840">
        <v>50</v>
      </c>
      <c r="M60" s="839">
        <v>354</v>
      </c>
      <c r="N60" s="839">
        <v>354</v>
      </c>
      <c r="O60" s="842"/>
      <c r="P60" s="839">
        <v>3161.1</v>
      </c>
      <c r="Q60" s="842">
        <v>9</v>
      </c>
      <c r="R60" s="842"/>
      <c r="S60" s="839">
        <v>783.0999999999999</v>
      </c>
      <c r="T60" s="1008"/>
      <c r="U60" s="1009"/>
      <c r="V60" s="1010"/>
      <c r="W60" s="1008"/>
    </row>
    <row r="61" spans="1:23" ht="16.5" customHeight="1">
      <c r="A61" s="822">
        <v>50</v>
      </c>
      <c r="B61" s="817" t="s">
        <v>1757</v>
      </c>
      <c r="C61" s="838">
        <v>2201.3999999999996</v>
      </c>
      <c r="D61" s="839">
        <v>147.6</v>
      </c>
      <c r="E61" s="839">
        <v>2056.7999999999997</v>
      </c>
      <c r="F61" s="835">
        <v>93.25842696629213</v>
      </c>
      <c r="G61" s="835">
        <v>93.25842696629213</v>
      </c>
      <c r="H61" s="840">
        <v>77.71535580524345</v>
      </c>
      <c r="I61" s="838">
        <v>147.6</v>
      </c>
      <c r="J61" s="841">
        <v>100</v>
      </c>
      <c r="K61" s="841">
        <v>100</v>
      </c>
      <c r="L61" s="840">
        <v>100</v>
      </c>
      <c r="M61" s="839">
        <v>180</v>
      </c>
      <c r="N61" s="839">
        <v>180</v>
      </c>
      <c r="O61" s="842"/>
      <c r="P61" s="839">
        <v>1701.4999999999998</v>
      </c>
      <c r="Q61" s="842">
        <v>13</v>
      </c>
      <c r="R61" s="842">
        <v>0</v>
      </c>
      <c r="S61" s="839">
        <v>340.29999999999995</v>
      </c>
      <c r="T61" s="1008"/>
      <c r="U61" s="1009"/>
      <c r="V61" s="1010"/>
      <c r="W61" s="1008"/>
    </row>
    <row r="62" spans="1:23" ht="16.5" customHeight="1">
      <c r="A62" s="822">
        <v>51</v>
      </c>
      <c r="B62" s="817" t="s">
        <v>1758</v>
      </c>
      <c r="C62" s="838">
        <v>3275.6</v>
      </c>
      <c r="D62" s="839">
        <v>360.79999999999995</v>
      </c>
      <c r="E62" s="839">
        <v>3290.8999999999996</v>
      </c>
      <c r="F62" s="835">
        <v>100.37688442211055</v>
      </c>
      <c r="G62" s="835">
        <v>100.37688442211055</v>
      </c>
      <c r="H62" s="840">
        <v>29.2713567839196</v>
      </c>
      <c r="I62" s="838">
        <v>360.79999999999995</v>
      </c>
      <c r="J62" s="841">
        <v>100</v>
      </c>
      <c r="K62" s="841">
        <v>100</v>
      </c>
      <c r="L62" s="840">
        <v>0</v>
      </c>
      <c r="M62" s="839">
        <v>126</v>
      </c>
      <c r="N62" s="839">
        <v>78</v>
      </c>
      <c r="O62" s="842"/>
      <c r="P62" s="839">
        <v>2915.1</v>
      </c>
      <c r="Q62" s="842">
        <v>8</v>
      </c>
      <c r="R62" s="842"/>
      <c r="S62" s="839">
        <v>360.79999999999995</v>
      </c>
      <c r="T62" s="1008"/>
      <c r="U62" s="1009"/>
      <c r="V62" s="1010"/>
      <c r="W62" s="1008"/>
    </row>
    <row r="63" spans="1:23" ht="16.5" customHeight="1">
      <c r="A63" s="822">
        <v>52</v>
      </c>
      <c r="B63" s="817" t="s">
        <v>1759</v>
      </c>
      <c r="C63" s="838">
        <v>1721.6999999999998</v>
      </c>
      <c r="D63" s="839">
        <v>106.6</v>
      </c>
      <c r="E63" s="839">
        <v>1691.8999999999999</v>
      </c>
      <c r="F63" s="835">
        <v>98.08153477218225</v>
      </c>
      <c r="G63" s="835">
        <v>98.08153477218225</v>
      </c>
      <c r="H63" s="840">
        <v>52.278177458033575</v>
      </c>
      <c r="I63" s="838">
        <v>106.6</v>
      </c>
      <c r="J63" s="841">
        <v>100</v>
      </c>
      <c r="K63" s="841">
        <v>100</v>
      </c>
      <c r="L63" s="840">
        <v>69.23076923076923</v>
      </c>
      <c r="M63" s="839">
        <v>134</v>
      </c>
      <c r="N63" s="839">
        <v>134</v>
      </c>
      <c r="O63" s="842"/>
      <c r="P63" s="839">
        <v>545.3</v>
      </c>
      <c r="Q63" s="842">
        <v>8</v>
      </c>
      <c r="R63" s="842"/>
      <c r="S63" s="839">
        <v>1131.6</v>
      </c>
      <c r="T63" s="1008"/>
      <c r="U63" s="1009"/>
      <c r="V63" s="1010"/>
      <c r="W63" s="1008"/>
    </row>
    <row r="64" spans="1:23" ht="16.5" customHeight="1">
      <c r="A64" s="822">
        <v>53</v>
      </c>
      <c r="B64" s="817" t="s">
        <v>1760</v>
      </c>
      <c r="C64" s="838">
        <v>2016.8999999999999</v>
      </c>
      <c r="D64" s="839">
        <v>69.69999999999999</v>
      </c>
      <c r="E64" s="839">
        <v>2019.8999999999999</v>
      </c>
      <c r="F64" s="835">
        <v>100</v>
      </c>
      <c r="G64" s="835">
        <v>100</v>
      </c>
      <c r="H64" s="840">
        <v>96.93251533742331</v>
      </c>
      <c r="I64" s="838">
        <v>69.69999999999999</v>
      </c>
      <c r="J64" s="841">
        <v>100</v>
      </c>
      <c r="K64" s="841">
        <v>100</v>
      </c>
      <c r="L64" s="840">
        <v>100</v>
      </c>
      <c r="M64" s="839">
        <v>316</v>
      </c>
      <c r="N64" s="839">
        <v>288</v>
      </c>
      <c r="O64" s="842"/>
      <c r="P64" s="839">
        <v>1943.3999999999999</v>
      </c>
      <c r="Q64" s="842">
        <v>11</v>
      </c>
      <c r="R64" s="842"/>
      <c r="S64" s="839">
        <v>61.49999999999999</v>
      </c>
      <c r="T64" s="1008"/>
      <c r="U64" s="1009"/>
      <c r="V64" s="1010"/>
      <c r="W64" s="1008"/>
    </row>
    <row r="65" spans="1:23" ht="16.5" customHeight="1">
      <c r="A65" s="822">
        <v>54</v>
      </c>
      <c r="B65" s="817" t="s">
        <v>1761</v>
      </c>
      <c r="C65" s="838">
        <v>3673.2999999999997</v>
      </c>
      <c r="D65" s="839">
        <v>164</v>
      </c>
      <c r="E65" s="839">
        <v>3676.2999999999997</v>
      </c>
      <c r="F65" s="835">
        <v>100</v>
      </c>
      <c r="G65" s="835">
        <v>100</v>
      </c>
      <c r="H65" s="840">
        <v>65.2855543113102</v>
      </c>
      <c r="I65" s="838">
        <v>164</v>
      </c>
      <c r="J65" s="841">
        <v>100</v>
      </c>
      <c r="K65" s="841">
        <v>100</v>
      </c>
      <c r="L65" s="840">
        <v>100</v>
      </c>
      <c r="M65" s="839">
        <v>20</v>
      </c>
      <c r="N65" s="839">
        <v>20</v>
      </c>
      <c r="O65" s="842"/>
      <c r="P65" s="839">
        <v>1365.3</v>
      </c>
      <c r="Q65" s="842">
        <v>8</v>
      </c>
      <c r="R65" s="842"/>
      <c r="S65" s="839">
        <v>2296</v>
      </c>
      <c r="T65" s="1008"/>
      <c r="U65" s="1009"/>
      <c r="V65" s="1010"/>
      <c r="W65" s="1008"/>
    </row>
    <row r="66" spans="1:23" ht="16.5" customHeight="1">
      <c r="A66" s="822">
        <v>55</v>
      </c>
      <c r="B66" s="817" t="s">
        <v>1762</v>
      </c>
      <c r="C66" s="838">
        <v>1992.2999999999997</v>
      </c>
      <c r="D66" s="839">
        <v>127.1</v>
      </c>
      <c r="E66" s="839">
        <v>1966.6</v>
      </c>
      <c r="F66" s="835">
        <v>98.55072463768116</v>
      </c>
      <c r="G66" s="835">
        <v>98.55072463768116</v>
      </c>
      <c r="H66" s="840">
        <v>7.453416149068323</v>
      </c>
      <c r="I66" s="838">
        <v>127.1</v>
      </c>
      <c r="J66" s="841">
        <v>100</v>
      </c>
      <c r="K66" s="841">
        <v>100</v>
      </c>
      <c r="L66" s="840">
        <v>0</v>
      </c>
      <c r="M66" s="839">
        <v>339</v>
      </c>
      <c r="N66" s="839">
        <v>339</v>
      </c>
      <c r="O66" s="842"/>
      <c r="P66" s="839">
        <v>668.3</v>
      </c>
      <c r="Q66" s="842">
        <v>14</v>
      </c>
      <c r="R66" s="842"/>
      <c r="S66" s="839">
        <v>1283.3</v>
      </c>
      <c r="T66" s="1008"/>
      <c r="U66" s="1009"/>
      <c r="V66" s="1010"/>
      <c r="W66" s="1008"/>
    </row>
    <row r="67" spans="1:23" ht="16.5" customHeight="1">
      <c r="A67" s="822">
        <v>56</v>
      </c>
      <c r="B67" s="817" t="s">
        <v>86</v>
      </c>
      <c r="C67" s="838">
        <v>1430.6</v>
      </c>
      <c r="D67" s="839">
        <v>446.9</v>
      </c>
      <c r="E67" s="839">
        <v>1433.6</v>
      </c>
      <c r="F67" s="835">
        <v>100</v>
      </c>
      <c r="G67" s="835">
        <v>100</v>
      </c>
      <c r="H67" s="840">
        <v>14.450867052023122</v>
      </c>
      <c r="I67" s="838">
        <v>446.9</v>
      </c>
      <c r="J67" s="841">
        <v>100</v>
      </c>
      <c r="K67" s="841">
        <v>100</v>
      </c>
      <c r="L67" s="840">
        <v>0</v>
      </c>
      <c r="M67" s="839">
        <v>439</v>
      </c>
      <c r="N67" s="839">
        <v>439</v>
      </c>
      <c r="O67" s="842"/>
      <c r="P67" s="839">
        <v>1221.8</v>
      </c>
      <c r="Q67" s="842">
        <v>14</v>
      </c>
      <c r="R67" s="842"/>
      <c r="S67" s="839">
        <v>196.79999999999998</v>
      </c>
      <c r="T67" s="1008"/>
      <c r="U67" s="1009"/>
      <c r="V67" s="1010"/>
      <c r="W67" s="1008"/>
    </row>
    <row r="68" spans="1:23" ht="16.5" customHeight="1">
      <c r="A68" s="822">
        <v>57</v>
      </c>
      <c r="B68" s="817" t="s">
        <v>1763</v>
      </c>
      <c r="C68" s="838">
        <v>3624.1</v>
      </c>
      <c r="D68" s="839">
        <v>1803.9999999999998</v>
      </c>
      <c r="E68" s="839">
        <v>3627.1</v>
      </c>
      <c r="F68" s="835">
        <v>100</v>
      </c>
      <c r="G68" s="835">
        <v>100</v>
      </c>
      <c r="H68" s="840">
        <v>15.891032917139613</v>
      </c>
      <c r="I68" s="838">
        <v>1721.9999999999998</v>
      </c>
      <c r="J68" s="841">
        <v>95.45454545454545</v>
      </c>
      <c r="K68" s="841">
        <v>95.45454545454545</v>
      </c>
      <c r="L68" s="840">
        <v>4.545454545454546</v>
      </c>
      <c r="M68" s="839">
        <v>338</v>
      </c>
      <c r="N68" s="839">
        <v>338</v>
      </c>
      <c r="O68" s="842"/>
      <c r="P68" s="839">
        <v>1898.2999999999997</v>
      </c>
      <c r="Q68" s="842">
        <v>7</v>
      </c>
      <c r="R68" s="842"/>
      <c r="S68" s="839">
        <v>1713.8</v>
      </c>
      <c r="T68" s="1008"/>
      <c r="U68" s="1009"/>
      <c r="V68" s="1010"/>
      <c r="W68" s="1008"/>
    </row>
    <row r="69" spans="1:23" ht="16.5" customHeight="1">
      <c r="A69" s="822">
        <v>58</v>
      </c>
      <c r="B69" s="817" t="s">
        <v>1764</v>
      </c>
      <c r="C69" s="838">
        <v>1692.9999999999998</v>
      </c>
      <c r="D69" s="839">
        <v>405.9</v>
      </c>
      <c r="E69" s="839">
        <v>1695.9999999999998</v>
      </c>
      <c r="F69" s="835">
        <v>100</v>
      </c>
      <c r="G69" s="835">
        <v>100</v>
      </c>
      <c r="H69" s="840">
        <v>31.21951219512195</v>
      </c>
      <c r="I69" s="838">
        <v>405.9</v>
      </c>
      <c r="J69" s="841">
        <v>100</v>
      </c>
      <c r="K69" s="841">
        <v>100</v>
      </c>
      <c r="L69" s="840">
        <v>11.11111111111111</v>
      </c>
      <c r="M69" s="839">
        <v>59</v>
      </c>
      <c r="N69" s="839">
        <v>59</v>
      </c>
      <c r="O69" s="842"/>
      <c r="P69" s="839">
        <v>377.2</v>
      </c>
      <c r="Q69" s="842">
        <v>8</v>
      </c>
      <c r="R69" s="842"/>
      <c r="S69" s="839">
        <v>1303.8</v>
      </c>
      <c r="T69" s="1008"/>
      <c r="U69" s="1009"/>
      <c r="V69" s="1010"/>
      <c r="W69" s="1008"/>
    </row>
    <row r="70" spans="1:23" ht="16.5" customHeight="1">
      <c r="A70" s="822">
        <v>59</v>
      </c>
      <c r="B70" s="817" t="s">
        <v>1765</v>
      </c>
      <c r="C70" s="838">
        <v>3189.4999999999995</v>
      </c>
      <c r="D70" s="839">
        <v>582.1999999999999</v>
      </c>
      <c r="E70" s="839">
        <v>3192.4999999999995</v>
      </c>
      <c r="F70" s="835">
        <v>100</v>
      </c>
      <c r="G70" s="835">
        <v>100</v>
      </c>
      <c r="H70" s="840">
        <v>63.87096774193548</v>
      </c>
      <c r="I70" s="838">
        <v>582.1999999999999</v>
      </c>
      <c r="J70" s="841">
        <v>100</v>
      </c>
      <c r="K70" s="841">
        <v>100</v>
      </c>
      <c r="L70" s="840">
        <v>42.25352112676056</v>
      </c>
      <c r="M70" s="839">
        <v>171</v>
      </c>
      <c r="N70" s="839">
        <v>171</v>
      </c>
      <c r="O70" s="842"/>
      <c r="P70" s="839">
        <v>2357.5</v>
      </c>
      <c r="Q70" s="842">
        <v>12</v>
      </c>
      <c r="R70" s="842"/>
      <c r="S70" s="839">
        <v>819.9999999999999</v>
      </c>
      <c r="T70" s="1008"/>
      <c r="U70" s="1009"/>
      <c r="V70" s="1010"/>
      <c r="W70" s="1008"/>
    </row>
    <row r="71" spans="1:23" ht="16.5" customHeight="1">
      <c r="A71" s="822">
        <v>60</v>
      </c>
      <c r="B71" s="817" t="s">
        <v>1766</v>
      </c>
      <c r="C71" s="838">
        <v>1930.7999999999997</v>
      </c>
      <c r="D71" s="839">
        <v>143.5</v>
      </c>
      <c r="E71" s="839">
        <v>1933.7999999999997</v>
      </c>
      <c r="F71" s="835">
        <v>100</v>
      </c>
      <c r="G71" s="835">
        <v>100</v>
      </c>
      <c r="H71" s="840">
        <v>51.28205128205128</v>
      </c>
      <c r="I71" s="838">
        <v>143.5</v>
      </c>
      <c r="J71" s="841">
        <v>100</v>
      </c>
      <c r="K71" s="841">
        <v>100</v>
      </c>
      <c r="L71" s="840">
        <v>100</v>
      </c>
      <c r="M71" s="839">
        <v>281</v>
      </c>
      <c r="N71" s="839">
        <v>239</v>
      </c>
      <c r="O71" s="842"/>
      <c r="P71" s="839">
        <v>1148</v>
      </c>
      <c r="Q71" s="842">
        <v>7</v>
      </c>
      <c r="R71" s="842"/>
      <c r="S71" s="839">
        <v>770.8</v>
      </c>
      <c r="T71" s="1008"/>
      <c r="U71" s="1009"/>
      <c r="V71" s="1010"/>
      <c r="W71" s="1008"/>
    </row>
    <row r="72" spans="1:23" ht="16.5" customHeight="1">
      <c r="A72" s="822">
        <v>61</v>
      </c>
      <c r="B72" s="817" t="s">
        <v>1767</v>
      </c>
      <c r="C72" s="838">
        <v>1508.4999999999998</v>
      </c>
      <c r="D72" s="839">
        <v>49.199999999999996</v>
      </c>
      <c r="E72" s="839">
        <v>1511.4999999999998</v>
      </c>
      <c r="F72" s="835">
        <v>100</v>
      </c>
      <c r="G72" s="835">
        <v>100</v>
      </c>
      <c r="H72" s="840">
        <v>58.63013698630137</v>
      </c>
      <c r="I72" s="838">
        <v>49.199999999999996</v>
      </c>
      <c r="J72" s="841">
        <v>100</v>
      </c>
      <c r="K72" s="841">
        <v>100</v>
      </c>
      <c r="L72" s="840">
        <v>50</v>
      </c>
      <c r="M72" s="839">
        <v>208</v>
      </c>
      <c r="N72" s="839">
        <v>206</v>
      </c>
      <c r="O72" s="842"/>
      <c r="P72" s="839">
        <v>1217.6999999999998</v>
      </c>
      <c r="Q72" s="842">
        <v>7</v>
      </c>
      <c r="R72" s="842"/>
      <c r="S72" s="839">
        <v>278.79999999999995</v>
      </c>
      <c r="T72" s="1008"/>
      <c r="U72" s="1009"/>
      <c r="V72" s="1010"/>
      <c r="W72" s="1008"/>
    </row>
    <row r="73" spans="1:23" ht="16.5" customHeight="1">
      <c r="A73" s="833" t="s">
        <v>903</v>
      </c>
      <c r="B73" s="1485" t="s">
        <v>1768</v>
      </c>
      <c r="C73" s="1486"/>
      <c r="D73" s="839"/>
      <c r="E73" s="839"/>
      <c r="F73" s="836"/>
      <c r="G73" s="836"/>
      <c r="H73" s="840"/>
      <c r="I73" s="838"/>
      <c r="J73" s="841"/>
      <c r="K73" s="841"/>
      <c r="L73" s="840"/>
      <c r="M73" s="839"/>
      <c r="N73" s="839"/>
      <c r="O73" s="842"/>
      <c r="P73" s="839"/>
      <c r="Q73" s="842"/>
      <c r="R73" s="842"/>
      <c r="S73" s="839"/>
      <c r="T73" s="1008"/>
      <c r="U73" s="1009"/>
      <c r="V73" s="1010"/>
      <c r="W73" s="1008"/>
    </row>
    <row r="74" spans="1:23" ht="16.5" customHeight="1">
      <c r="A74" s="822">
        <v>62</v>
      </c>
      <c r="B74" s="817" t="s">
        <v>1769</v>
      </c>
      <c r="C74" s="838">
        <v>3019.3999999999996</v>
      </c>
      <c r="D74" s="839">
        <v>865.0999999999999</v>
      </c>
      <c r="E74" s="839">
        <v>3024.3999999999996</v>
      </c>
      <c r="F74" s="836">
        <v>100</v>
      </c>
      <c r="G74" s="836">
        <v>100</v>
      </c>
      <c r="H74" s="840">
        <v>23.705722070844686</v>
      </c>
      <c r="I74" s="838">
        <v>865.0999999999999</v>
      </c>
      <c r="J74" s="841">
        <v>100</v>
      </c>
      <c r="K74" s="841">
        <v>100</v>
      </c>
      <c r="L74" s="840">
        <v>4.739336492890995</v>
      </c>
      <c r="M74" s="839"/>
      <c r="N74" s="839"/>
      <c r="O74" s="842"/>
      <c r="P74" s="839">
        <v>426.4</v>
      </c>
      <c r="Q74" s="842"/>
      <c r="R74" s="842"/>
      <c r="S74" s="839">
        <v>2583</v>
      </c>
      <c r="T74" s="1008"/>
      <c r="U74" s="1009"/>
      <c r="V74" s="1010"/>
      <c r="W74" s="1008"/>
    </row>
    <row r="75" spans="1:23" ht="16.5" customHeight="1">
      <c r="A75" s="822">
        <v>63</v>
      </c>
      <c r="B75" s="817" t="s">
        <v>1770</v>
      </c>
      <c r="C75" s="838">
        <v>2478.2</v>
      </c>
      <c r="D75" s="839">
        <v>1156.1999999999998</v>
      </c>
      <c r="E75" s="839">
        <v>2483.2</v>
      </c>
      <c r="F75" s="836">
        <v>100</v>
      </c>
      <c r="G75" s="836">
        <v>100</v>
      </c>
      <c r="H75" s="840">
        <v>25</v>
      </c>
      <c r="I75" s="838">
        <v>1156.1999999999998</v>
      </c>
      <c r="J75" s="841">
        <v>100</v>
      </c>
      <c r="K75" s="841">
        <v>100</v>
      </c>
      <c r="L75" s="840">
        <v>0</v>
      </c>
      <c r="M75" s="839">
        <v>438</v>
      </c>
      <c r="N75" s="839">
        <v>438</v>
      </c>
      <c r="O75" s="842"/>
      <c r="P75" s="839">
        <v>742.0999999999999</v>
      </c>
      <c r="Q75" s="842">
        <v>7</v>
      </c>
      <c r="R75" s="842"/>
      <c r="S75" s="839">
        <v>1726.1</v>
      </c>
      <c r="T75" s="1008"/>
      <c r="U75" s="1009"/>
      <c r="V75" s="1010"/>
      <c r="W75" s="1008"/>
    </row>
    <row r="76" spans="1:23" ht="16.5" customHeight="1">
      <c r="A76" s="822">
        <v>64</v>
      </c>
      <c r="B76" s="817" t="s">
        <v>1771</v>
      </c>
      <c r="C76" s="838">
        <v>1539.3</v>
      </c>
      <c r="D76" s="839">
        <v>28.699999999999996</v>
      </c>
      <c r="E76" s="839">
        <v>1544.3</v>
      </c>
      <c r="F76" s="836">
        <v>100</v>
      </c>
      <c r="G76" s="836">
        <v>100</v>
      </c>
      <c r="H76" s="840">
        <v>11.528150134048257</v>
      </c>
      <c r="I76" s="838">
        <v>28.699999999999996</v>
      </c>
      <c r="J76" s="841">
        <v>100</v>
      </c>
      <c r="K76" s="841">
        <v>100</v>
      </c>
      <c r="L76" s="840">
        <v>14.285714285714285</v>
      </c>
      <c r="M76" s="839">
        <v>391</v>
      </c>
      <c r="N76" s="839">
        <v>388</v>
      </c>
      <c r="O76" s="842"/>
      <c r="P76" s="839">
        <v>500.19999999999993</v>
      </c>
      <c r="Q76" s="842">
        <v>12</v>
      </c>
      <c r="R76" s="842"/>
      <c r="S76" s="839">
        <v>1029.1</v>
      </c>
      <c r="T76" s="1008"/>
      <c r="U76" s="1009"/>
      <c r="V76" s="1010"/>
      <c r="W76" s="1008"/>
    </row>
    <row r="77" spans="1:23" ht="16.5" customHeight="1">
      <c r="A77" s="822">
        <v>65</v>
      </c>
      <c r="B77" s="817" t="s">
        <v>1772</v>
      </c>
      <c r="C77" s="838">
        <v>4014.2999999999997</v>
      </c>
      <c r="D77" s="839">
        <v>1742.4999999999998</v>
      </c>
      <c r="E77" s="839">
        <v>3996.0999999999995</v>
      </c>
      <c r="F77" s="836">
        <v>99.79445015416238</v>
      </c>
      <c r="G77" s="836">
        <v>99.79445015416238</v>
      </c>
      <c r="H77" s="840">
        <v>5.755395683453237</v>
      </c>
      <c r="I77" s="838">
        <v>1742.4999999999998</v>
      </c>
      <c r="J77" s="841">
        <v>100</v>
      </c>
      <c r="K77" s="841">
        <v>100</v>
      </c>
      <c r="L77" s="840">
        <v>0</v>
      </c>
      <c r="M77" s="839">
        <v>251</v>
      </c>
      <c r="N77" s="839">
        <v>251</v>
      </c>
      <c r="O77" s="842"/>
      <c r="P77" s="839">
        <v>807.6999999999999</v>
      </c>
      <c r="Q77" s="842">
        <v>8</v>
      </c>
      <c r="R77" s="842"/>
      <c r="S77" s="839">
        <v>3173.3999999999996</v>
      </c>
      <c r="T77" s="1008"/>
      <c r="U77" s="1009"/>
      <c r="V77" s="1010"/>
      <c r="W77" s="1008"/>
    </row>
    <row r="78" spans="1:23" ht="16.5" customHeight="1">
      <c r="A78" s="822">
        <v>66</v>
      </c>
      <c r="B78" s="817" t="s">
        <v>1600</v>
      </c>
      <c r="C78" s="838">
        <v>2351.1</v>
      </c>
      <c r="D78" s="839">
        <v>914.3</v>
      </c>
      <c r="E78" s="839">
        <v>2356.1</v>
      </c>
      <c r="F78" s="836">
        <v>100</v>
      </c>
      <c r="G78" s="840">
        <v>100</v>
      </c>
      <c r="H78" s="840">
        <v>76.70753064798599</v>
      </c>
      <c r="I78" s="838">
        <v>914.3</v>
      </c>
      <c r="J78" s="841">
        <v>100</v>
      </c>
      <c r="K78" s="841">
        <v>100</v>
      </c>
      <c r="L78" s="840">
        <v>67.2645739910314</v>
      </c>
      <c r="M78" s="839">
        <v>333</v>
      </c>
      <c r="N78" s="839">
        <v>149</v>
      </c>
      <c r="O78" s="839">
        <v>0</v>
      </c>
      <c r="P78" s="839">
        <v>1808.1</v>
      </c>
      <c r="Q78" s="839">
        <v>17</v>
      </c>
      <c r="R78" s="839">
        <v>0</v>
      </c>
      <c r="S78" s="839">
        <v>533</v>
      </c>
      <c r="T78" s="1008"/>
      <c r="U78" s="1009"/>
      <c r="V78" s="1010"/>
      <c r="W78" s="1008"/>
    </row>
    <row r="79" spans="1:23" ht="16.5" customHeight="1">
      <c r="A79" s="822">
        <v>67</v>
      </c>
      <c r="B79" s="817" t="s">
        <v>1773</v>
      </c>
      <c r="C79" s="838">
        <v>1871.3999999999999</v>
      </c>
      <c r="D79" s="839">
        <v>746.1999999999999</v>
      </c>
      <c r="E79" s="839">
        <v>1868.1999999999998</v>
      </c>
      <c r="F79" s="836">
        <v>99.55947136563876</v>
      </c>
      <c r="G79" s="836">
        <v>99.55947136563876</v>
      </c>
      <c r="H79" s="840">
        <v>5.506607929515418</v>
      </c>
      <c r="I79" s="838">
        <v>746.1999999999999</v>
      </c>
      <c r="J79" s="841">
        <v>100</v>
      </c>
      <c r="K79" s="841">
        <v>100</v>
      </c>
      <c r="L79" s="840">
        <v>0</v>
      </c>
      <c r="M79" s="839">
        <v>133</v>
      </c>
      <c r="N79" s="839">
        <v>133</v>
      </c>
      <c r="O79" s="842"/>
      <c r="P79" s="839">
        <v>1217.6999999999998</v>
      </c>
      <c r="Q79" s="842">
        <v>12</v>
      </c>
      <c r="R79" s="842"/>
      <c r="S79" s="839">
        <v>635.5</v>
      </c>
      <c r="T79" s="1008"/>
      <c r="U79" s="1009"/>
      <c r="V79" s="1010"/>
      <c r="W79" s="1008"/>
    </row>
    <row r="80" spans="1:23" ht="16.5" customHeight="1">
      <c r="A80" s="822">
        <v>68</v>
      </c>
      <c r="B80" s="817" t="s">
        <v>1774</v>
      </c>
      <c r="C80" s="838">
        <v>3175.2</v>
      </c>
      <c r="D80" s="839">
        <v>1143.8999999999999</v>
      </c>
      <c r="E80" s="839">
        <v>3180.2</v>
      </c>
      <c r="F80" s="836">
        <v>100</v>
      </c>
      <c r="G80" s="836">
        <v>100</v>
      </c>
      <c r="H80" s="840">
        <v>9.067357512953366</v>
      </c>
      <c r="I80" s="838">
        <v>1143.8999999999999</v>
      </c>
      <c r="J80" s="841">
        <v>100</v>
      </c>
      <c r="K80" s="841">
        <v>100</v>
      </c>
      <c r="L80" s="840">
        <v>0</v>
      </c>
      <c r="M80" s="839">
        <v>217</v>
      </c>
      <c r="N80" s="839">
        <v>217</v>
      </c>
      <c r="O80" s="842"/>
      <c r="P80" s="839">
        <v>245.99999999999997</v>
      </c>
      <c r="Q80" s="842">
        <v>15</v>
      </c>
      <c r="R80" s="842"/>
      <c r="S80" s="839">
        <v>2919.2</v>
      </c>
      <c r="T80" s="1008"/>
      <c r="U80" s="1009"/>
      <c r="V80" s="1010"/>
      <c r="W80" s="1008"/>
    </row>
    <row r="81" spans="1:23" ht="16.5" customHeight="1">
      <c r="A81" s="822">
        <v>69</v>
      </c>
      <c r="B81" s="817" t="s">
        <v>1775</v>
      </c>
      <c r="C81" s="838">
        <v>1399.8999999999999</v>
      </c>
      <c r="D81" s="839">
        <v>668.3</v>
      </c>
      <c r="E81" s="839">
        <v>1261.3999999999999</v>
      </c>
      <c r="F81" s="836">
        <v>89.6755162241888</v>
      </c>
      <c r="G81" s="836">
        <v>89.6755162241888</v>
      </c>
      <c r="H81" s="840">
        <v>26.548672566371685</v>
      </c>
      <c r="I81" s="838">
        <v>565.8</v>
      </c>
      <c r="J81" s="841">
        <v>84.66257668711657</v>
      </c>
      <c r="K81" s="841">
        <v>84.66257668711657</v>
      </c>
      <c r="L81" s="840">
        <v>12.269938650306749</v>
      </c>
      <c r="M81" s="839">
        <v>661</v>
      </c>
      <c r="N81" s="839">
        <v>661</v>
      </c>
      <c r="O81" s="842"/>
      <c r="P81" s="839">
        <v>746.1999999999999</v>
      </c>
      <c r="Q81" s="842">
        <v>11</v>
      </c>
      <c r="R81" s="842"/>
      <c r="S81" s="839">
        <v>500.19999999999993</v>
      </c>
      <c r="T81" s="1008"/>
      <c r="U81" s="1009"/>
      <c r="V81" s="1010"/>
      <c r="W81" s="1008"/>
    </row>
    <row r="82" spans="1:23" ht="16.5" customHeight="1">
      <c r="A82" s="822">
        <v>70</v>
      </c>
      <c r="B82" s="817" t="s">
        <v>1776</v>
      </c>
      <c r="C82" s="838">
        <v>3642.6</v>
      </c>
      <c r="D82" s="839">
        <v>159.89999999999998</v>
      </c>
      <c r="E82" s="839">
        <v>3647.6</v>
      </c>
      <c r="F82" s="836">
        <v>100</v>
      </c>
      <c r="G82" s="836">
        <v>100</v>
      </c>
      <c r="H82" s="840">
        <v>63.88261851015801</v>
      </c>
      <c r="I82" s="838">
        <v>159.89999999999998</v>
      </c>
      <c r="J82" s="841">
        <v>100</v>
      </c>
      <c r="K82" s="841">
        <v>100</v>
      </c>
      <c r="L82" s="840">
        <v>51.28205128205128</v>
      </c>
      <c r="M82" s="839">
        <v>115</v>
      </c>
      <c r="N82" s="839">
        <v>83</v>
      </c>
      <c r="O82" s="842"/>
      <c r="P82" s="839">
        <v>3218.4999999999995</v>
      </c>
      <c r="Q82" s="842">
        <v>10</v>
      </c>
      <c r="R82" s="842"/>
      <c r="S82" s="839">
        <v>414.09999999999997</v>
      </c>
      <c r="T82" s="1008"/>
      <c r="U82" s="1009"/>
      <c r="V82" s="1010"/>
      <c r="W82" s="1008"/>
    </row>
    <row r="83" spans="1:23" ht="16.5" customHeight="1">
      <c r="A83" s="833" t="s">
        <v>353</v>
      </c>
      <c r="B83" s="1485" t="s">
        <v>1603</v>
      </c>
      <c r="C83" s="1486"/>
      <c r="D83" s="839"/>
      <c r="E83" s="839"/>
      <c r="F83" s="836"/>
      <c r="G83" s="836"/>
      <c r="H83" s="840"/>
      <c r="I83" s="838"/>
      <c r="J83" s="841"/>
      <c r="K83" s="841"/>
      <c r="L83" s="840"/>
      <c r="M83" s="839"/>
      <c r="N83" s="839"/>
      <c r="O83" s="842"/>
      <c r="P83" s="839"/>
      <c r="Q83" s="842"/>
      <c r="R83" s="842"/>
      <c r="S83" s="839"/>
      <c r="T83" s="1008"/>
      <c r="U83" s="1009"/>
      <c r="V83" s="1010"/>
      <c r="W83" s="1008"/>
    </row>
    <row r="84" spans="1:23" ht="16.5" customHeight="1">
      <c r="A84" s="819">
        <v>71</v>
      </c>
      <c r="B84" s="820" t="s">
        <v>1777</v>
      </c>
      <c r="C84" s="838">
        <v>3462.1</v>
      </c>
      <c r="D84" s="839">
        <v>1512.8999999999999</v>
      </c>
      <c r="E84" s="839">
        <v>3463.1</v>
      </c>
      <c r="F84" s="835">
        <v>100</v>
      </c>
      <c r="G84" s="835">
        <v>100</v>
      </c>
      <c r="H84" s="840">
        <v>3.9239001189060643</v>
      </c>
      <c r="I84" s="838">
        <v>1512.8999999999999</v>
      </c>
      <c r="J84" s="841">
        <v>100</v>
      </c>
      <c r="K84" s="841">
        <v>100</v>
      </c>
      <c r="L84" s="840">
        <v>2.4390243902439024</v>
      </c>
      <c r="M84" s="839"/>
      <c r="N84" s="839"/>
      <c r="O84" s="842"/>
      <c r="P84" s="839">
        <v>147.6</v>
      </c>
      <c r="Q84" s="842"/>
      <c r="R84" s="842"/>
      <c r="S84" s="839">
        <v>3300.4999999999995</v>
      </c>
      <c r="T84" s="1008"/>
      <c r="U84" s="1009"/>
      <c r="V84" s="1010"/>
      <c r="W84" s="1008"/>
    </row>
    <row r="85" spans="1:23" ht="16.5" customHeight="1">
      <c r="A85" s="819">
        <v>72</v>
      </c>
      <c r="B85" s="820" t="s">
        <v>1778</v>
      </c>
      <c r="C85" s="838">
        <v>3027.4999999999995</v>
      </c>
      <c r="D85" s="839">
        <v>897.9</v>
      </c>
      <c r="E85" s="839">
        <v>3016.2</v>
      </c>
      <c r="F85" s="835">
        <v>99.59183673469389</v>
      </c>
      <c r="G85" s="835">
        <v>99.59183673469389</v>
      </c>
      <c r="H85" s="840">
        <v>28.027210884353742</v>
      </c>
      <c r="I85" s="838">
        <v>897.9</v>
      </c>
      <c r="J85" s="841">
        <v>100</v>
      </c>
      <c r="K85" s="841">
        <v>100</v>
      </c>
      <c r="L85" s="840">
        <v>19.17808219178082</v>
      </c>
      <c r="M85" s="839">
        <v>474</v>
      </c>
      <c r="N85" s="839">
        <v>474</v>
      </c>
      <c r="O85" s="842"/>
      <c r="P85" s="839">
        <v>844.5999999999999</v>
      </c>
      <c r="Q85" s="842">
        <v>5</v>
      </c>
      <c r="R85" s="842"/>
      <c r="S85" s="839">
        <v>2156.6</v>
      </c>
      <c r="T85" s="1008"/>
      <c r="U85" s="1009"/>
      <c r="V85" s="1010"/>
      <c r="W85" s="1008"/>
    </row>
    <row r="86" spans="1:23" ht="16.5" customHeight="1">
      <c r="A86" s="819">
        <v>73</v>
      </c>
      <c r="B86" s="821" t="s">
        <v>1779</v>
      </c>
      <c r="C86" s="838">
        <v>3523.6</v>
      </c>
      <c r="D86" s="839">
        <v>1115.1999999999998</v>
      </c>
      <c r="E86" s="839">
        <v>3483.6</v>
      </c>
      <c r="F86" s="835">
        <v>98.83177570093457</v>
      </c>
      <c r="G86" s="835">
        <v>98.83177570093457</v>
      </c>
      <c r="H86" s="840">
        <v>0</v>
      </c>
      <c r="I86" s="838">
        <v>1070.1</v>
      </c>
      <c r="J86" s="841">
        <v>95.95588235294117</v>
      </c>
      <c r="K86" s="841">
        <v>95.95588235294117</v>
      </c>
      <c r="L86" s="840">
        <v>0</v>
      </c>
      <c r="M86" s="839">
        <v>781</v>
      </c>
      <c r="N86" s="839">
        <v>771</v>
      </c>
      <c r="O86" s="842"/>
      <c r="P86" s="839">
        <v>2119.7</v>
      </c>
      <c r="Q86" s="842">
        <v>8</v>
      </c>
      <c r="R86" s="842"/>
      <c r="S86" s="839">
        <v>1348.8999999999999</v>
      </c>
      <c r="T86" s="1008"/>
      <c r="U86" s="1009"/>
      <c r="V86" s="1010"/>
      <c r="W86" s="1008"/>
    </row>
    <row r="87" spans="1:23" ht="16.5" customHeight="1">
      <c r="A87" s="819">
        <v>74</v>
      </c>
      <c r="B87" s="821" t="s">
        <v>1780</v>
      </c>
      <c r="C87" s="838">
        <v>3482.6</v>
      </c>
      <c r="D87" s="839">
        <v>409.99999999999994</v>
      </c>
      <c r="E87" s="839">
        <v>3483.6</v>
      </c>
      <c r="F87" s="835">
        <v>100</v>
      </c>
      <c r="G87" s="835">
        <v>100</v>
      </c>
      <c r="H87" s="840">
        <v>59.9290780141844</v>
      </c>
      <c r="I87" s="838">
        <v>409.99999999999994</v>
      </c>
      <c r="J87" s="841">
        <v>100</v>
      </c>
      <c r="K87" s="841">
        <v>100</v>
      </c>
      <c r="L87" s="840">
        <v>50</v>
      </c>
      <c r="M87" s="839">
        <v>339</v>
      </c>
      <c r="N87" s="839">
        <v>329</v>
      </c>
      <c r="O87" s="842"/>
      <c r="P87" s="839">
        <v>1639.9999999999998</v>
      </c>
      <c r="Q87" s="842">
        <v>10</v>
      </c>
      <c r="R87" s="842"/>
      <c r="S87" s="839">
        <v>1828.6</v>
      </c>
      <c r="T87" s="1008"/>
      <c r="U87" s="1009"/>
      <c r="V87" s="1010"/>
      <c r="W87" s="1008"/>
    </row>
    <row r="88" spans="1:23" ht="16.5" customHeight="1">
      <c r="A88" s="819">
        <v>75</v>
      </c>
      <c r="B88" s="821" t="s">
        <v>1781</v>
      </c>
      <c r="C88" s="838">
        <v>2920.8999999999996</v>
      </c>
      <c r="D88" s="839">
        <v>1057.8</v>
      </c>
      <c r="E88" s="839">
        <v>2921.8999999999996</v>
      </c>
      <c r="F88" s="835">
        <v>100</v>
      </c>
      <c r="G88" s="835">
        <v>100</v>
      </c>
      <c r="H88" s="840">
        <v>98.44851904090268</v>
      </c>
      <c r="I88" s="838">
        <v>1020.8999999999999</v>
      </c>
      <c r="J88" s="841">
        <v>96.51162790697674</v>
      </c>
      <c r="K88" s="841">
        <v>96.51162790697674</v>
      </c>
      <c r="L88" s="840">
        <v>58.13953488372093</v>
      </c>
      <c r="M88" s="839">
        <v>572</v>
      </c>
      <c r="N88" s="839">
        <v>572</v>
      </c>
      <c r="O88" s="842"/>
      <c r="P88" s="839">
        <v>2861.7999999999997</v>
      </c>
      <c r="Q88" s="842">
        <v>5</v>
      </c>
      <c r="R88" s="842"/>
      <c r="S88" s="839">
        <v>45.099999999999994</v>
      </c>
      <c r="T88" s="1008"/>
      <c r="U88" s="1009"/>
      <c r="V88" s="1010"/>
      <c r="W88" s="1008"/>
    </row>
    <row r="89" spans="1:23" ht="16.5" customHeight="1">
      <c r="A89" s="819">
        <v>76</v>
      </c>
      <c r="B89" s="821" t="s">
        <v>1782</v>
      </c>
      <c r="C89" s="838">
        <v>2375.6</v>
      </c>
      <c r="D89" s="839">
        <v>114.79999999999998</v>
      </c>
      <c r="E89" s="839">
        <v>2376.6</v>
      </c>
      <c r="F89" s="835">
        <v>100</v>
      </c>
      <c r="G89" s="835">
        <v>100</v>
      </c>
      <c r="H89" s="840">
        <v>55.03472222222222</v>
      </c>
      <c r="I89" s="838">
        <v>114.79999999999998</v>
      </c>
      <c r="J89" s="841">
        <v>100</v>
      </c>
      <c r="K89" s="841">
        <v>100</v>
      </c>
      <c r="L89" s="840">
        <v>71.42857142857143</v>
      </c>
      <c r="M89" s="839">
        <v>18</v>
      </c>
      <c r="N89" s="839">
        <v>18</v>
      </c>
      <c r="O89" s="842"/>
      <c r="P89" s="839">
        <v>2119.7</v>
      </c>
      <c r="Q89" s="842">
        <v>10</v>
      </c>
      <c r="R89" s="842"/>
      <c r="S89" s="839">
        <v>241.89999999999998</v>
      </c>
      <c r="T89" s="1008"/>
      <c r="U89" s="1009"/>
      <c r="V89" s="1010"/>
      <c r="W89" s="1008"/>
    </row>
    <row r="90" spans="1:23" ht="16.5" customHeight="1">
      <c r="A90" s="819">
        <v>77</v>
      </c>
      <c r="B90" s="821" t="s">
        <v>1783</v>
      </c>
      <c r="C90" s="838">
        <v>4081.2</v>
      </c>
      <c r="D90" s="839">
        <v>557.5999999999999</v>
      </c>
      <c r="E90" s="839">
        <v>4082.2</v>
      </c>
      <c r="F90" s="835">
        <v>100</v>
      </c>
      <c r="G90" s="835">
        <v>100</v>
      </c>
      <c r="H90" s="840">
        <v>87.70161290322581</v>
      </c>
      <c r="I90" s="838">
        <v>557.5999999999999</v>
      </c>
      <c r="J90" s="841">
        <v>100</v>
      </c>
      <c r="K90" s="841">
        <v>100</v>
      </c>
      <c r="L90" s="840">
        <v>73.52941176470588</v>
      </c>
      <c r="M90" s="839">
        <v>27</v>
      </c>
      <c r="N90" s="839">
        <v>0</v>
      </c>
      <c r="O90" s="842"/>
      <c r="P90" s="839">
        <v>520.6999999999999</v>
      </c>
      <c r="Q90" s="842">
        <v>6</v>
      </c>
      <c r="R90" s="842"/>
      <c r="S90" s="839">
        <v>3546.4999999999995</v>
      </c>
      <c r="T90" s="1008"/>
      <c r="U90" s="1009"/>
      <c r="V90" s="1010"/>
      <c r="W90" s="1008"/>
    </row>
    <row r="91" spans="1:23" ht="16.5" customHeight="1">
      <c r="A91" s="819">
        <v>78</v>
      </c>
      <c r="B91" s="821" t="s">
        <v>1784</v>
      </c>
      <c r="C91" s="838">
        <v>3986.8999999999996</v>
      </c>
      <c r="D91" s="839">
        <v>574</v>
      </c>
      <c r="E91" s="839">
        <v>3987.8999999999996</v>
      </c>
      <c r="F91" s="835">
        <v>100</v>
      </c>
      <c r="G91" s="835">
        <v>100</v>
      </c>
      <c r="H91" s="840">
        <v>62.745098039215684</v>
      </c>
      <c r="I91" s="838">
        <v>574</v>
      </c>
      <c r="J91" s="841">
        <v>100</v>
      </c>
      <c r="K91" s="841">
        <v>100</v>
      </c>
      <c r="L91" s="840">
        <v>35.714285714285715</v>
      </c>
      <c r="M91" s="839">
        <v>885</v>
      </c>
      <c r="N91" s="839">
        <v>878</v>
      </c>
      <c r="O91" s="842"/>
      <c r="P91" s="839">
        <v>2492.7999999999997</v>
      </c>
      <c r="Q91" s="842">
        <v>4</v>
      </c>
      <c r="R91" s="842"/>
      <c r="S91" s="839">
        <v>1480.1</v>
      </c>
      <c r="T91" s="1008"/>
      <c r="U91" s="1009"/>
      <c r="V91" s="1010"/>
      <c r="W91" s="1008"/>
    </row>
    <row r="92" spans="1:23" ht="16.5" customHeight="1">
      <c r="A92" s="819">
        <v>79</v>
      </c>
      <c r="B92" s="821" t="s">
        <v>1785</v>
      </c>
      <c r="C92" s="838">
        <v>2162.3999999999996</v>
      </c>
      <c r="D92" s="839">
        <v>1000.3999999999999</v>
      </c>
      <c r="E92" s="839">
        <v>2163.3999999999996</v>
      </c>
      <c r="F92" s="835">
        <v>100</v>
      </c>
      <c r="G92" s="835">
        <v>100</v>
      </c>
      <c r="H92" s="840">
        <v>18.893129770992367</v>
      </c>
      <c r="I92" s="838">
        <v>1000.3999999999999</v>
      </c>
      <c r="J92" s="841">
        <v>100</v>
      </c>
      <c r="K92" s="841">
        <v>100</v>
      </c>
      <c r="L92" s="840">
        <v>0</v>
      </c>
      <c r="M92" s="839">
        <v>10</v>
      </c>
      <c r="N92" s="839">
        <v>10</v>
      </c>
      <c r="O92" s="842"/>
      <c r="P92" s="839">
        <v>291.09999999999997</v>
      </c>
      <c r="Q92" s="842">
        <v>7</v>
      </c>
      <c r="R92" s="842"/>
      <c r="S92" s="839">
        <v>1857.2999999999997</v>
      </c>
      <c r="T92" s="1008"/>
      <c r="U92" s="1009"/>
      <c r="V92" s="1010"/>
      <c r="W92" s="1008"/>
    </row>
    <row r="93" spans="1:23" ht="16.5" customHeight="1">
      <c r="A93" s="819">
        <v>80</v>
      </c>
      <c r="B93" s="821" t="s">
        <v>1786</v>
      </c>
      <c r="C93" s="838">
        <v>3023.3999999999996</v>
      </c>
      <c r="D93" s="839">
        <v>1025</v>
      </c>
      <c r="E93" s="839">
        <v>3020.2999999999997</v>
      </c>
      <c r="F93" s="835">
        <v>99.86376021798365</v>
      </c>
      <c r="G93" s="835">
        <v>99.86376021798365</v>
      </c>
      <c r="H93" s="840">
        <v>44.9591280653951</v>
      </c>
      <c r="I93" s="838">
        <v>1025</v>
      </c>
      <c r="J93" s="841">
        <v>100</v>
      </c>
      <c r="K93" s="841">
        <v>100</v>
      </c>
      <c r="L93" s="840">
        <v>0</v>
      </c>
      <c r="M93" s="839">
        <v>440</v>
      </c>
      <c r="N93" s="839">
        <v>440</v>
      </c>
      <c r="O93" s="842"/>
      <c r="P93" s="839">
        <v>1352.9999999999998</v>
      </c>
      <c r="Q93" s="842">
        <v>3</v>
      </c>
      <c r="R93" s="842"/>
      <c r="S93" s="839">
        <v>1652.3</v>
      </c>
      <c r="T93" s="1008"/>
      <c r="U93" s="1009"/>
      <c r="V93" s="1010"/>
      <c r="W93" s="1008"/>
    </row>
    <row r="94" spans="1:23" ht="16.5" customHeight="1">
      <c r="A94" s="819">
        <v>81</v>
      </c>
      <c r="B94" s="821" t="s">
        <v>1787</v>
      </c>
      <c r="C94" s="838">
        <v>3519.4999999999995</v>
      </c>
      <c r="D94" s="839">
        <v>848.6999999999999</v>
      </c>
      <c r="E94" s="839">
        <v>3520.4999999999995</v>
      </c>
      <c r="F94" s="835">
        <v>100</v>
      </c>
      <c r="G94" s="835">
        <v>100</v>
      </c>
      <c r="H94" s="840">
        <v>13.801169590643275</v>
      </c>
      <c r="I94" s="838">
        <v>848.6999999999999</v>
      </c>
      <c r="J94" s="841">
        <v>100</v>
      </c>
      <c r="K94" s="841">
        <v>100</v>
      </c>
      <c r="L94" s="840">
        <v>24.154589371980677</v>
      </c>
      <c r="M94" s="839">
        <v>381</v>
      </c>
      <c r="N94" s="839">
        <v>345</v>
      </c>
      <c r="O94" s="842"/>
      <c r="P94" s="839">
        <v>2775.7</v>
      </c>
      <c r="Q94" s="842">
        <v>4</v>
      </c>
      <c r="R94" s="842"/>
      <c r="S94" s="839">
        <v>729.8</v>
      </c>
      <c r="T94" s="1008"/>
      <c r="U94" s="1009"/>
      <c r="V94" s="1010"/>
      <c r="W94" s="1008"/>
    </row>
    <row r="95" spans="1:23" ht="16.5" customHeight="1">
      <c r="A95" s="819">
        <v>82</v>
      </c>
      <c r="B95" s="821" t="s">
        <v>1788</v>
      </c>
      <c r="C95" s="838">
        <v>5655.599999999999</v>
      </c>
      <c r="D95" s="839">
        <v>684.6999999999999</v>
      </c>
      <c r="E95" s="839">
        <v>5656.599999999999</v>
      </c>
      <c r="F95" s="835">
        <v>100</v>
      </c>
      <c r="G95" s="835">
        <v>100</v>
      </c>
      <c r="H95" s="840">
        <v>40.843023255813954</v>
      </c>
      <c r="I95" s="838">
        <v>684.6999999999999</v>
      </c>
      <c r="J95" s="841">
        <v>100</v>
      </c>
      <c r="K95" s="841">
        <v>100</v>
      </c>
      <c r="L95" s="840">
        <v>0</v>
      </c>
      <c r="M95" s="839">
        <v>301</v>
      </c>
      <c r="N95" s="839">
        <v>301</v>
      </c>
      <c r="O95" s="842"/>
      <c r="P95" s="839">
        <v>2099.2</v>
      </c>
      <c r="Q95" s="842">
        <v>7</v>
      </c>
      <c r="R95" s="842"/>
      <c r="S95" s="839">
        <v>3542.3999999999996</v>
      </c>
      <c r="T95" s="1008"/>
      <c r="U95" s="1009"/>
      <c r="V95" s="1010"/>
      <c r="W95" s="1008"/>
    </row>
    <row r="96" spans="1:23" ht="16.5" customHeight="1">
      <c r="A96" s="819">
        <v>83</v>
      </c>
      <c r="B96" s="821" t="s">
        <v>1789</v>
      </c>
      <c r="C96" s="838">
        <v>2605.2</v>
      </c>
      <c r="D96" s="839">
        <v>729.8</v>
      </c>
      <c r="E96" s="839">
        <v>2606.2</v>
      </c>
      <c r="F96" s="835">
        <v>100</v>
      </c>
      <c r="G96" s="835">
        <v>100</v>
      </c>
      <c r="H96" s="840">
        <v>7.9113924050632916</v>
      </c>
      <c r="I96" s="838">
        <v>729.8</v>
      </c>
      <c r="J96" s="841">
        <v>100</v>
      </c>
      <c r="K96" s="841">
        <v>100</v>
      </c>
      <c r="L96" s="840">
        <v>0</v>
      </c>
      <c r="M96" s="839">
        <v>731</v>
      </c>
      <c r="N96" s="839">
        <v>710</v>
      </c>
      <c r="O96" s="842">
        <v>0</v>
      </c>
      <c r="P96" s="839">
        <v>377.2</v>
      </c>
      <c r="Q96" s="842">
        <v>13</v>
      </c>
      <c r="R96" s="842">
        <v>0</v>
      </c>
      <c r="S96" s="839">
        <v>2214</v>
      </c>
      <c r="T96" s="1008"/>
      <c r="U96" s="1009"/>
      <c r="V96" s="1010"/>
      <c r="W96" s="1008"/>
    </row>
    <row r="97" spans="1:23" ht="16.5" customHeight="1">
      <c r="A97" s="819">
        <v>84</v>
      </c>
      <c r="B97" s="821" t="s">
        <v>1790</v>
      </c>
      <c r="C97" s="838">
        <v>1324</v>
      </c>
      <c r="D97" s="839">
        <v>237.79999999999998</v>
      </c>
      <c r="E97" s="839">
        <v>1327</v>
      </c>
      <c r="F97" s="835">
        <v>100</v>
      </c>
      <c r="G97" s="835">
        <v>100</v>
      </c>
      <c r="H97" s="840">
        <v>99.0625</v>
      </c>
      <c r="I97" s="838">
        <v>237.79999999999998</v>
      </c>
      <c r="J97" s="841">
        <v>100</v>
      </c>
      <c r="K97" s="841">
        <v>100</v>
      </c>
      <c r="L97" s="840">
        <v>100</v>
      </c>
      <c r="M97" s="839">
        <v>506</v>
      </c>
      <c r="N97" s="839">
        <v>506</v>
      </c>
      <c r="O97" s="842"/>
      <c r="P97" s="839">
        <v>1312</v>
      </c>
      <c r="Q97" s="842">
        <v>5</v>
      </c>
      <c r="R97" s="842"/>
      <c r="S97" s="839">
        <v>0</v>
      </c>
      <c r="T97" s="1008"/>
      <c r="U97" s="1009"/>
      <c r="V97" s="1010"/>
      <c r="W97" s="1008"/>
    </row>
    <row r="98" spans="1:23" ht="16.5" customHeight="1">
      <c r="A98" s="833" t="s">
        <v>388</v>
      </c>
      <c r="B98" s="1485" t="s">
        <v>1791</v>
      </c>
      <c r="C98" s="1486"/>
      <c r="D98" s="839"/>
      <c r="E98" s="839"/>
      <c r="F98" s="836"/>
      <c r="G98" s="836"/>
      <c r="H98" s="840"/>
      <c r="I98" s="838"/>
      <c r="J98" s="841"/>
      <c r="K98" s="841"/>
      <c r="L98" s="840"/>
      <c r="M98" s="839"/>
      <c r="N98" s="839"/>
      <c r="O98" s="842"/>
      <c r="P98" s="839"/>
      <c r="Q98" s="842"/>
      <c r="R98" s="842"/>
      <c r="S98" s="839"/>
      <c r="T98" s="1008"/>
      <c r="U98" s="1009"/>
      <c r="V98" s="1010"/>
      <c r="W98" s="1008"/>
    </row>
    <row r="99" spans="1:23" ht="16.5" customHeight="1">
      <c r="A99" s="822">
        <v>85</v>
      </c>
      <c r="B99" s="817" t="s">
        <v>1792</v>
      </c>
      <c r="C99" s="838">
        <v>1150.8</v>
      </c>
      <c r="D99" s="839">
        <v>582.1999999999999</v>
      </c>
      <c r="E99" s="839">
        <v>1154.8</v>
      </c>
      <c r="F99" s="835">
        <v>100</v>
      </c>
      <c r="G99" s="835">
        <v>100</v>
      </c>
      <c r="H99" s="840">
        <v>0</v>
      </c>
      <c r="I99" s="838">
        <v>582.1999999999999</v>
      </c>
      <c r="J99" s="841">
        <v>100</v>
      </c>
      <c r="K99" s="841">
        <v>100</v>
      </c>
      <c r="L99" s="840">
        <v>0</v>
      </c>
      <c r="M99" s="839"/>
      <c r="N99" s="839"/>
      <c r="O99" s="842"/>
      <c r="P99" s="839">
        <v>77.89999999999999</v>
      </c>
      <c r="Q99" s="842"/>
      <c r="R99" s="842"/>
      <c r="S99" s="839">
        <v>1061.8999999999999</v>
      </c>
      <c r="T99" s="1008"/>
      <c r="U99" s="1009"/>
      <c r="V99" s="1010"/>
      <c r="W99" s="1008"/>
    </row>
    <row r="100" spans="1:23" ht="16.5" customHeight="1">
      <c r="A100" s="822">
        <v>86</v>
      </c>
      <c r="B100" s="817" t="s">
        <v>1793</v>
      </c>
      <c r="C100" s="838">
        <v>3151.6</v>
      </c>
      <c r="D100" s="839">
        <v>1082.3999999999999</v>
      </c>
      <c r="E100" s="839">
        <v>3147.3999999999996</v>
      </c>
      <c r="F100" s="835">
        <v>99.73890339425587</v>
      </c>
      <c r="G100" s="835">
        <v>99.73890339425587</v>
      </c>
      <c r="H100" s="840">
        <v>24.673629242819842</v>
      </c>
      <c r="I100" s="838">
        <v>1082.3999999999999</v>
      </c>
      <c r="J100" s="841">
        <v>100</v>
      </c>
      <c r="K100" s="841">
        <v>100</v>
      </c>
      <c r="L100" s="840">
        <v>0</v>
      </c>
      <c r="M100" s="839">
        <v>228</v>
      </c>
      <c r="N100" s="839">
        <v>228</v>
      </c>
      <c r="O100" s="842"/>
      <c r="P100" s="839">
        <v>729.8</v>
      </c>
      <c r="Q100" s="842">
        <v>6</v>
      </c>
      <c r="R100" s="842"/>
      <c r="S100" s="839">
        <v>2402.6</v>
      </c>
      <c r="T100" s="1008"/>
      <c r="U100" s="1009"/>
      <c r="V100" s="1010"/>
      <c r="W100" s="1008"/>
    </row>
    <row r="101" spans="1:23" ht="16.5" customHeight="1">
      <c r="A101" s="822">
        <v>87</v>
      </c>
      <c r="B101" s="817" t="s">
        <v>1794</v>
      </c>
      <c r="C101" s="838">
        <v>4357.799999999999</v>
      </c>
      <c r="D101" s="839">
        <v>627.3</v>
      </c>
      <c r="E101" s="839">
        <v>4352.799999999999</v>
      </c>
      <c r="F101" s="835">
        <v>100</v>
      </c>
      <c r="G101" s="835">
        <v>100</v>
      </c>
      <c r="H101" s="840">
        <v>8.034026465028354</v>
      </c>
      <c r="I101" s="838">
        <v>627.3</v>
      </c>
      <c r="J101" s="841">
        <v>100</v>
      </c>
      <c r="K101" s="841">
        <v>100</v>
      </c>
      <c r="L101" s="840">
        <v>13.72549019607843</v>
      </c>
      <c r="M101" s="839">
        <v>537</v>
      </c>
      <c r="N101" s="839">
        <v>526</v>
      </c>
      <c r="O101" s="842"/>
      <c r="P101" s="839">
        <v>582.1999999999999</v>
      </c>
      <c r="Q101" s="842">
        <v>10</v>
      </c>
      <c r="R101" s="842"/>
      <c r="S101" s="839">
        <v>3755.5999999999995</v>
      </c>
      <c r="T101" s="1008"/>
      <c r="U101" s="1009"/>
      <c r="V101" s="1010"/>
      <c r="W101" s="1008"/>
    </row>
    <row r="102" spans="1:23" ht="16.5" customHeight="1">
      <c r="A102" s="822">
        <v>88</v>
      </c>
      <c r="B102" s="817" t="s">
        <v>1795</v>
      </c>
      <c r="C102" s="838">
        <v>3577.9999999999995</v>
      </c>
      <c r="D102" s="839">
        <v>2066.3999999999996</v>
      </c>
      <c r="E102" s="839">
        <v>3581.9999999999995</v>
      </c>
      <c r="F102" s="835">
        <v>100</v>
      </c>
      <c r="G102" s="835">
        <v>100</v>
      </c>
      <c r="H102" s="840">
        <v>0</v>
      </c>
      <c r="I102" s="838">
        <v>2066.3999999999996</v>
      </c>
      <c r="J102" s="841">
        <v>100</v>
      </c>
      <c r="K102" s="841">
        <v>100</v>
      </c>
      <c r="L102" s="840">
        <v>0</v>
      </c>
      <c r="M102" s="839">
        <v>917</v>
      </c>
      <c r="N102" s="839">
        <v>914</v>
      </c>
      <c r="O102" s="842"/>
      <c r="P102" s="839">
        <v>1357.1</v>
      </c>
      <c r="Q102" s="842">
        <v>13</v>
      </c>
      <c r="R102" s="842"/>
      <c r="S102" s="839">
        <v>2209.8999999999996</v>
      </c>
      <c r="T102" s="1008"/>
      <c r="U102" s="1009"/>
      <c r="V102" s="1010"/>
      <c r="W102" s="1008"/>
    </row>
    <row r="103" spans="1:23" ht="16.5" customHeight="1">
      <c r="A103" s="822">
        <v>89</v>
      </c>
      <c r="B103" s="817" t="s">
        <v>1796</v>
      </c>
      <c r="C103" s="838">
        <v>3737.8999999999996</v>
      </c>
      <c r="D103" s="839">
        <v>1808.1</v>
      </c>
      <c r="E103" s="839">
        <v>3741.8999999999996</v>
      </c>
      <c r="F103" s="835">
        <v>100</v>
      </c>
      <c r="G103" s="835">
        <v>100</v>
      </c>
      <c r="H103" s="840">
        <v>0</v>
      </c>
      <c r="I103" s="838">
        <v>1808.1</v>
      </c>
      <c r="J103" s="841">
        <v>100</v>
      </c>
      <c r="K103" s="841">
        <v>100</v>
      </c>
      <c r="L103" s="840">
        <v>0</v>
      </c>
      <c r="M103" s="839">
        <v>693</v>
      </c>
      <c r="N103" s="839">
        <v>632</v>
      </c>
      <c r="O103" s="842"/>
      <c r="P103" s="839">
        <v>1094.6999999999998</v>
      </c>
      <c r="Q103" s="842">
        <v>8</v>
      </c>
      <c r="R103" s="842"/>
      <c r="S103" s="839">
        <v>2632.2</v>
      </c>
      <c r="T103" s="1008"/>
      <c r="U103" s="1009"/>
      <c r="V103" s="1010"/>
      <c r="W103" s="1008"/>
    </row>
    <row r="104" spans="1:23" ht="16.5" customHeight="1">
      <c r="A104" s="822">
        <v>90</v>
      </c>
      <c r="B104" s="817" t="s">
        <v>1797</v>
      </c>
      <c r="C104" s="838">
        <v>2753.8999999999996</v>
      </c>
      <c r="D104" s="839">
        <v>893.8</v>
      </c>
      <c r="E104" s="839">
        <v>2757.8999999999996</v>
      </c>
      <c r="F104" s="835">
        <v>100</v>
      </c>
      <c r="G104" s="835">
        <v>100</v>
      </c>
      <c r="H104" s="840">
        <v>5.381165919282512</v>
      </c>
      <c r="I104" s="838">
        <v>828.1999999999999</v>
      </c>
      <c r="J104" s="841">
        <v>92.66055045871559</v>
      </c>
      <c r="K104" s="841">
        <v>92.66055045871559</v>
      </c>
      <c r="L104" s="840">
        <v>0</v>
      </c>
      <c r="M104" s="839">
        <v>637</v>
      </c>
      <c r="N104" s="839">
        <v>637</v>
      </c>
      <c r="O104" s="842"/>
      <c r="P104" s="839">
        <v>2501</v>
      </c>
      <c r="Q104" s="842">
        <v>12</v>
      </c>
      <c r="R104" s="842"/>
      <c r="S104" s="839">
        <v>241.89999999999998</v>
      </c>
      <c r="T104" s="1008"/>
      <c r="U104" s="1009"/>
      <c r="V104" s="1010"/>
      <c r="W104" s="1008"/>
    </row>
    <row r="105" spans="1:23" ht="16.5" customHeight="1">
      <c r="A105" s="822">
        <v>91</v>
      </c>
      <c r="B105" s="817" t="s">
        <v>1798</v>
      </c>
      <c r="C105" s="838">
        <v>1749.3999999999999</v>
      </c>
      <c r="D105" s="839">
        <v>295.2</v>
      </c>
      <c r="E105" s="839">
        <v>1753.3999999999999</v>
      </c>
      <c r="F105" s="835">
        <v>100</v>
      </c>
      <c r="G105" s="835">
        <v>100</v>
      </c>
      <c r="H105" s="840">
        <v>23.349056603773583</v>
      </c>
      <c r="I105" s="838">
        <v>295.2</v>
      </c>
      <c r="J105" s="841">
        <v>100</v>
      </c>
      <c r="K105" s="841">
        <v>100</v>
      </c>
      <c r="L105" s="840">
        <v>34.72222222222222</v>
      </c>
      <c r="M105" s="839">
        <v>256</v>
      </c>
      <c r="N105" s="839">
        <v>256</v>
      </c>
      <c r="O105" s="842"/>
      <c r="P105" s="839">
        <v>1541.6</v>
      </c>
      <c r="Q105" s="842">
        <v>9</v>
      </c>
      <c r="R105" s="842"/>
      <c r="S105" s="839">
        <v>196.79999999999998</v>
      </c>
      <c r="T105" s="1008"/>
      <c r="U105" s="1009"/>
      <c r="V105" s="1010"/>
      <c r="W105" s="1008"/>
    </row>
    <row r="106" spans="1:23" ht="16.5" customHeight="1">
      <c r="A106" s="822">
        <v>92</v>
      </c>
      <c r="B106" s="817" t="s">
        <v>1799</v>
      </c>
      <c r="C106" s="838">
        <v>5206.5</v>
      </c>
      <c r="D106" s="839">
        <v>2308.2999999999997</v>
      </c>
      <c r="E106" s="839">
        <v>5201.5</v>
      </c>
      <c r="F106" s="835">
        <v>100</v>
      </c>
      <c r="G106" s="835">
        <v>100</v>
      </c>
      <c r="H106" s="840">
        <v>7.905138339920948</v>
      </c>
      <c r="I106" s="838">
        <v>2308.2999999999997</v>
      </c>
      <c r="J106" s="841">
        <v>100</v>
      </c>
      <c r="K106" s="841">
        <v>100</v>
      </c>
      <c r="L106" s="840">
        <v>0</v>
      </c>
      <c r="M106" s="839">
        <v>40</v>
      </c>
      <c r="N106" s="839">
        <v>40</v>
      </c>
      <c r="O106" s="842"/>
      <c r="P106" s="839">
        <v>0</v>
      </c>
      <c r="Q106" s="842">
        <v>9</v>
      </c>
      <c r="R106" s="842"/>
      <c r="S106" s="839">
        <v>5186.5</v>
      </c>
      <c r="T106" s="1008"/>
      <c r="U106" s="1009"/>
      <c r="V106" s="1010"/>
      <c r="W106" s="1008"/>
    </row>
    <row r="107" spans="1:23" ht="16.5" customHeight="1">
      <c r="A107" s="822">
        <v>93</v>
      </c>
      <c r="B107" s="817" t="s">
        <v>1800</v>
      </c>
      <c r="C107" s="838">
        <v>1950.2999999999997</v>
      </c>
      <c r="D107" s="839">
        <v>651.9</v>
      </c>
      <c r="E107" s="839">
        <v>1954.2999999999997</v>
      </c>
      <c r="F107" s="835">
        <v>100</v>
      </c>
      <c r="G107" s="835">
        <v>100</v>
      </c>
      <c r="H107" s="840">
        <v>0.8456659619450317</v>
      </c>
      <c r="I107" s="838">
        <v>651.9</v>
      </c>
      <c r="J107" s="841">
        <v>100</v>
      </c>
      <c r="K107" s="841">
        <v>100</v>
      </c>
      <c r="L107" s="840">
        <v>0</v>
      </c>
      <c r="M107" s="839">
        <v>1123</v>
      </c>
      <c r="N107" s="839">
        <v>1123</v>
      </c>
      <c r="O107" s="842"/>
      <c r="P107" s="839">
        <v>660.0999999999999</v>
      </c>
      <c r="Q107" s="842">
        <v>6</v>
      </c>
      <c r="R107" s="842"/>
      <c r="S107" s="839">
        <v>1279.1999999999998</v>
      </c>
      <c r="T107" s="1008"/>
      <c r="U107" s="1009"/>
      <c r="V107" s="1010"/>
      <c r="W107" s="1008"/>
    </row>
    <row r="108" spans="1:23" ht="16.5" customHeight="1">
      <c r="A108" s="822">
        <v>94</v>
      </c>
      <c r="B108" s="817" t="s">
        <v>1801</v>
      </c>
      <c r="C108" s="838">
        <v>2536.6</v>
      </c>
      <c r="D108" s="839">
        <v>869.1999999999999</v>
      </c>
      <c r="E108" s="839">
        <v>2540.6</v>
      </c>
      <c r="F108" s="835">
        <v>100</v>
      </c>
      <c r="G108" s="835">
        <v>100</v>
      </c>
      <c r="H108" s="840">
        <v>0</v>
      </c>
      <c r="I108" s="838">
        <v>869.1999999999999</v>
      </c>
      <c r="J108" s="841">
        <v>100</v>
      </c>
      <c r="K108" s="841">
        <v>100</v>
      </c>
      <c r="L108" s="840">
        <v>0</v>
      </c>
      <c r="M108" s="839">
        <v>370</v>
      </c>
      <c r="N108" s="839">
        <v>219</v>
      </c>
      <c r="O108" s="842"/>
      <c r="P108" s="839">
        <v>450.99999999999994</v>
      </c>
      <c r="Q108" s="842">
        <v>6</v>
      </c>
      <c r="R108" s="842"/>
      <c r="S108" s="839">
        <v>2074.6</v>
      </c>
      <c r="T108" s="1008"/>
      <c r="U108" s="1009"/>
      <c r="V108" s="1010"/>
      <c r="W108" s="1008"/>
    </row>
    <row r="109" spans="1:23" ht="16.5" customHeight="1">
      <c r="A109" s="833" t="s">
        <v>388</v>
      </c>
      <c r="B109" s="815" t="s">
        <v>1619</v>
      </c>
      <c r="C109" s="838"/>
      <c r="D109" s="839"/>
      <c r="E109" s="839"/>
      <c r="F109" s="836"/>
      <c r="G109" s="836"/>
      <c r="H109" s="840"/>
      <c r="I109" s="838"/>
      <c r="J109" s="841"/>
      <c r="K109" s="841"/>
      <c r="L109" s="840"/>
      <c r="M109" s="839"/>
      <c r="N109" s="839"/>
      <c r="O109" s="842"/>
      <c r="P109" s="839"/>
      <c r="Q109" s="842"/>
      <c r="R109" s="842"/>
      <c r="S109" s="839"/>
      <c r="T109" s="1008"/>
      <c r="U109" s="1009"/>
      <c r="V109" s="1010"/>
      <c r="W109" s="1008"/>
    </row>
    <row r="110" spans="1:23" ht="16.5" customHeight="1">
      <c r="A110" s="822">
        <v>95</v>
      </c>
      <c r="B110" s="817" t="s">
        <v>1802</v>
      </c>
      <c r="C110" s="838">
        <v>3453.9999999999995</v>
      </c>
      <c r="D110" s="839">
        <v>82</v>
      </c>
      <c r="E110" s="839">
        <v>3192.4999999999995</v>
      </c>
      <c r="F110" s="836">
        <v>92.26190476190477</v>
      </c>
      <c r="G110" s="836">
        <v>92.26190476190477</v>
      </c>
      <c r="H110" s="840">
        <v>52.14285714285714</v>
      </c>
      <c r="I110" s="838">
        <v>73.8</v>
      </c>
      <c r="J110" s="841">
        <v>90</v>
      </c>
      <c r="K110" s="841">
        <v>90</v>
      </c>
      <c r="L110" s="840">
        <v>90</v>
      </c>
      <c r="M110" s="839"/>
      <c r="N110" s="839"/>
      <c r="O110" s="842"/>
      <c r="P110" s="839">
        <v>61.49999999999999</v>
      </c>
      <c r="Q110" s="842"/>
      <c r="R110" s="842"/>
      <c r="S110" s="839">
        <v>3115.9999999999995</v>
      </c>
      <c r="T110" s="1008"/>
      <c r="U110" s="1009"/>
      <c r="V110" s="1010"/>
      <c r="W110" s="1008"/>
    </row>
    <row r="111" spans="1:23" ht="16.5" customHeight="1">
      <c r="A111" s="822">
        <v>96</v>
      </c>
      <c r="B111" s="817" t="s">
        <v>1803</v>
      </c>
      <c r="C111" s="838">
        <v>3738.8999999999996</v>
      </c>
      <c r="D111" s="839">
        <v>90.19999999999999</v>
      </c>
      <c r="E111" s="839">
        <v>3577.8999999999996</v>
      </c>
      <c r="F111" s="836">
        <v>95.59955995599559</v>
      </c>
      <c r="G111" s="836">
        <v>95.59955995599559</v>
      </c>
      <c r="H111" s="840">
        <v>51.7051705170517</v>
      </c>
      <c r="I111" s="838">
        <v>90.19999999999999</v>
      </c>
      <c r="J111" s="841">
        <v>100</v>
      </c>
      <c r="K111" s="841">
        <v>100</v>
      </c>
      <c r="L111" s="840">
        <v>68.18181818181817</v>
      </c>
      <c r="M111" s="839">
        <v>825</v>
      </c>
      <c r="N111" s="839">
        <v>760</v>
      </c>
      <c r="O111" s="842"/>
      <c r="P111" s="839">
        <v>0</v>
      </c>
      <c r="Q111" s="842">
        <v>1</v>
      </c>
      <c r="R111" s="842"/>
      <c r="S111" s="839">
        <v>3562.8999999999996</v>
      </c>
      <c r="T111" s="1008"/>
      <c r="U111" s="1009"/>
      <c r="V111" s="1010"/>
      <c r="W111" s="1008"/>
    </row>
    <row r="112" spans="20:23" ht="15">
      <c r="T112" s="1008"/>
      <c r="V112" s="1010"/>
      <c r="W112" s="1008"/>
    </row>
  </sheetData>
  <sheetProtection/>
  <mergeCells count="11">
    <mergeCell ref="Q4:S4"/>
    <mergeCell ref="C4:L4"/>
    <mergeCell ref="B25:C25"/>
    <mergeCell ref="B39:C39"/>
    <mergeCell ref="B53:C53"/>
    <mergeCell ref="B73:C73"/>
    <mergeCell ref="B83:C83"/>
    <mergeCell ref="B98:C98"/>
    <mergeCell ref="A4:A5"/>
    <mergeCell ref="B4:B5"/>
    <mergeCell ref="M4:P4"/>
  </mergeCells>
  <printOptions/>
  <pageMargins left="0.4724409448818898" right="0.2755905511811024" top="0.4330708661417323" bottom="0.3937007874015748"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A13"/>
  <sheetViews>
    <sheetView zoomScalePageLayoutView="0" workbookViewId="0" topLeftCell="A1">
      <selection activeCell="G10" sqref="G10"/>
    </sheetView>
  </sheetViews>
  <sheetFormatPr defaultColWidth="8.796875" defaultRowHeight="15"/>
  <cols>
    <col min="1" max="1" width="3.19921875" style="0" bestFit="1" customWidth="1"/>
    <col min="27" max="27" width="9" style="101" customWidth="1"/>
  </cols>
  <sheetData>
    <row r="1" spans="1:27" ht="18.75">
      <c r="A1" s="1510" t="s">
        <v>1321</v>
      </c>
      <c r="B1" s="1510"/>
      <c r="C1" s="1510"/>
      <c r="D1" s="1510"/>
      <c r="E1" s="1510"/>
      <c r="F1" s="1510"/>
      <c r="G1" s="1510"/>
      <c r="H1" s="1510"/>
      <c r="I1" s="1510"/>
      <c r="J1" s="1510"/>
      <c r="K1" s="1510"/>
      <c r="L1" s="1510"/>
      <c r="M1" s="1510"/>
      <c r="N1" s="1510"/>
      <c r="O1" s="1510"/>
      <c r="P1" s="1510"/>
      <c r="Q1" s="1510"/>
      <c r="R1" s="1510"/>
      <c r="S1" s="1510"/>
      <c r="T1" s="1510"/>
      <c r="U1" s="1510"/>
      <c r="V1" s="1510"/>
      <c r="W1" s="1510"/>
      <c r="X1" s="1510"/>
      <c r="Y1" s="1510"/>
      <c r="Z1" s="1510"/>
      <c r="AA1" s="1510"/>
    </row>
    <row r="2" spans="1:27" ht="18.75">
      <c r="A2" s="1484" t="s">
        <v>1322</v>
      </c>
      <c r="B2" s="1484"/>
      <c r="C2" s="1484"/>
      <c r="D2" s="1484"/>
      <c r="E2" s="1484"/>
      <c r="F2" s="1484"/>
      <c r="G2" s="1484"/>
      <c r="H2" s="1484"/>
      <c r="I2" s="1484"/>
      <c r="J2" s="1484"/>
      <c r="K2" s="1484"/>
      <c r="L2" s="1484"/>
      <c r="M2" s="1484"/>
      <c r="N2" s="1484"/>
      <c r="O2" s="1484"/>
      <c r="P2" s="1484"/>
      <c r="Q2" s="1484"/>
      <c r="R2" s="1484"/>
      <c r="S2" s="1484"/>
      <c r="T2" s="1484"/>
      <c r="U2" s="1484"/>
      <c r="V2" s="1484"/>
      <c r="W2" s="1484"/>
      <c r="X2" s="1484"/>
      <c r="Y2" s="1484"/>
      <c r="Z2" s="1484"/>
      <c r="AA2" s="1484"/>
    </row>
    <row r="3" spans="1:26" ht="16.5" thickBo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7" ht="15">
      <c r="A4" s="1511" t="s">
        <v>922</v>
      </c>
      <c r="B4" s="1508" t="s">
        <v>998</v>
      </c>
      <c r="C4" s="1508" t="s">
        <v>1323</v>
      </c>
      <c r="D4" s="1513" t="s">
        <v>1324</v>
      </c>
      <c r="E4" s="1508" t="s">
        <v>1325</v>
      </c>
      <c r="F4" s="1515" t="s">
        <v>1326</v>
      </c>
      <c r="G4" s="1516"/>
      <c r="H4" s="1515" t="s">
        <v>1030</v>
      </c>
      <c r="I4" s="1516"/>
      <c r="J4" s="1508" t="s">
        <v>1031</v>
      </c>
      <c r="K4" s="1508" t="s">
        <v>1032</v>
      </c>
      <c r="L4" s="1508" t="s">
        <v>1033</v>
      </c>
      <c r="M4" s="1508" t="s">
        <v>1034</v>
      </c>
      <c r="N4" s="1508" t="s">
        <v>1035</v>
      </c>
      <c r="O4" s="1508" t="s">
        <v>1036</v>
      </c>
      <c r="P4" s="1508" t="s">
        <v>1037</v>
      </c>
      <c r="Q4" s="1503" t="s">
        <v>1327</v>
      </c>
      <c r="R4" s="1503" t="s">
        <v>2</v>
      </c>
      <c r="S4" s="1503" t="s">
        <v>1328</v>
      </c>
      <c r="T4" s="1503" t="s">
        <v>1329</v>
      </c>
      <c r="U4" s="1503" t="s">
        <v>1330</v>
      </c>
      <c r="V4" s="1505" t="s">
        <v>1331</v>
      </c>
      <c r="W4" s="1506"/>
      <c r="X4" s="1506"/>
      <c r="Y4" s="1507"/>
      <c r="Z4" s="1499" t="s">
        <v>1332</v>
      </c>
      <c r="AA4" s="1501" t="s">
        <v>1043</v>
      </c>
    </row>
    <row r="5" spans="1:27" ht="51">
      <c r="A5" s="1512"/>
      <c r="B5" s="1509"/>
      <c r="C5" s="1509"/>
      <c r="D5" s="1514"/>
      <c r="E5" s="1509"/>
      <c r="F5" s="692" t="s">
        <v>1251</v>
      </c>
      <c r="G5" s="692" t="s">
        <v>1252</v>
      </c>
      <c r="H5" s="693" t="s">
        <v>1030</v>
      </c>
      <c r="I5" s="694" t="s">
        <v>1333</v>
      </c>
      <c r="J5" s="1509"/>
      <c r="K5" s="1509"/>
      <c r="L5" s="1509"/>
      <c r="M5" s="1509"/>
      <c r="N5" s="1509"/>
      <c r="O5" s="1509"/>
      <c r="P5" s="1509"/>
      <c r="Q5" s="1504"/>
      <c r="R5" s="1504"/>
      <c r="S5" s="1504"/>
      <c r="T5" s="1504"/>
      <c r="U5" s="1504"/>
      <c r="V5" s="695" t="s">
        <v>6</v>
      </c>
      <c r="W5" s="695" t="s">
        <v>7</v>
      </c>
      <c r="X5" s="695" t="s">
        <v>8</v>
      </c>
      <c r="Y5" s="695" t="s">
        <v>9</v>
      </c>
      <c r="Z5" s="1500"/>
      <c r="AA5" s="1502"/>
    </row>
    <row r="6" spans="1:27" ht="15.75">
      <c r="A6" s="696"/>
      <c r="B6" s="697"/>
      <c r="C6" s="698"/>
      <c r="D6" s="698"/>
      <c r="E6" s="699"/>
      <c r="F6" s="699"/>
      <c r="G6" s="699"/>
      <c r="H6" s="700" t="s">
        <v>1334</v>
      </c>
      <c r="I6" s="701" t="s">
        <v>1335</v>
      </c>
      <c r="J6" s="702"/>
      <c r="K6" s="702"/>
      <c r="L6" s="703"/>
      <c r="M6" s="703"/>
      <c r="N6" s="702"/>
      <c r="O6" s="702"/>
      <c r="P6" s="702"/>
      <c r="Q6" s="704"/>
      <c r="R6" s="705"/>
      <c r="S6" s="705"/>
      <c r="T6" s="705"/>
      <c r="U6" s="705"/>
      <c r="V6" s="705"/>
      <c r="W6" s="705"/>
      <c r="X6" s="705"/>
      <c r="Y6" s="705"/>
      <c r="Z6" s="706"/>
      <c r="AA6" s="707"/>
    </row>
    <row r="7" spans="1:27" ht="33.75">
      <c r="A7" s="696"/>
      <c r="B7" s="697"/>
      <c r="C7" s="699"/>
      <c r="D7" s="699"/>
      <c r="E7" s="699"/>
      <c r="F7" s="699"/>
      <c r="G7" s="699"/>
      <c r="H7" s="708" t="s">
        <v>14</v>
      </c>
      <c r="I7" s="709" t="s">
        <v>1336</v>
      </c>
      <c r="J7" s="703"/>
      <c r="K7" s="703"/>
      <c r="L7" s="703"/>
      <c r="M7" s="703"/>
      <c r="N7" s="703"/>
      <c r="O7" s="703"/>
      <c r="P7" s="703"/>
      <c r="Q7" s="601"/>
      <c r="R7" s="601"/>
      <c r="S7" s="601"/>
      <c r="T7" s="720"/>
      <c r="U7" s="720"/>
      <c r="V7" s="720"/>
      <c r="W7" s="720"/>
      <c r="X7" s="720"/>
      <c r="Y7" s="720"/>
      <c r="Z7" s="601"/>
      <c r="AA7" s="707"/>
    </row>
    <row r="8" spans="1:27" ht="33.75">
      <c r="A8" s="696"/>
      <c r="B8" s="697"/>
      <c r="C8" s="699"/>
      <c r="D8" s="699"/>
      <c r="E8" s="699"/>
      <c r="F8" s="699"/>
      <c r="G8" s="699"/>
      <c r="H8" s="708" t="s">
        <v>1334</v>
      </c>
      <c r="I8" s="709" t="s">
        <v>1337</v>
      </c>
      <c r="J8" s="703"/>
      <c r="K8" s="703"/>
      <c r="L8" s="703"/>
      <c r="M8" s="703"/>
      <c r="N8" s="703"/>
      <c r="O8" s="703"/>
      <c r="P8" s="703"/>
      <c r="Q8" s="601"/>
      <c r="R8" s="601"/>
      <c r="S8" s="601"/>
      <c r="T8" s="720"/>
      <c r="U8" s="720"/>
      <c r="V8" s="720"/>
      <c r="W8" s="720"/>
      <c r="X8" s="720"/>
      <c r="Y8" s="720"/>
      <c r="Z8" s="601"/>
      <c r="AA8" s="707"/>
    </row>
    <row r="9" spans="1:27" ht="15">
      <c r="A9" s="696"/>
      <c r="B9" s="697"/>
      <c r="C9" s="699"/>
      <c r="D9" s="699"/>
      <c r="E9" s="699"/>
      <c r="F9" s="699"/>
      <c r="G9" s="699"/>
      <c r="H9" s="702"/>
      <c r="I9" s="702"/>
      <c r="J9" s="703"/>
      <c r="K9" s="703"/>
      <c r="L9" s="703"/>
      <c r="M9" s="703"/>
      <c r="N9" s="703"/>
      <c r="O9" s="703"/>
      <c r="P9" s="703"/>
      <c r="Q9" s="601"/>
      <c r="R9" s="601"/>
      <c r="S9" s="601"/>
      <c r="T9" s="601"/>
      <c r="U9" s="601"/>
      <c r="V9" s="601"/>
      <c r="W9" s="601"/>
      <c r="X9" s="601"/>
      <c r="Y9" s="601"/>
      <c r="Z9" s="601"/>
      <c r="AA9" s="707"/>
    </row>
    <row r="10" spans="1:27" ht="15">
      <c r="A10" s="696"/>
      <c r="B10" s="697"/>
      <c r="C10" s="699"/>
      <c r="D10" s="699"/>
      <c r="E10" s="699"/>
      <c r="F10" s="699"/>
      <c r="G10" s="699"/>
      <c r="H10" s="702"/>
      <c r="I10" s="702"/>
      <c r="J10" s="703"/>
      <c r="K10" s="703"/>
      <c r="L10" s="703"/>
      <c r="M10" s="703"/>
      <c r="N10" s="703"/>
      <c r="O10" s="703"/>
      <c r="P10" s="703"/>
      <c r="Q10" s="601"/>
      <c r="R10" s="601"/>
      <c r="S10" s="601"/>
      <c r="T10" s="601"/>
      <c r="U10" s="601"/>
      <c r="V10" s="601"/>
      <c r="W10" s="601"/>
      <c r="X10" s="601"/>
      <c r="Y10" s="601"/>
      <c r="Z10" s="601"/>
      <c r="AA10" s="707"/>
    </row>
    <row r="11" spans="1:27" ht="15">
      <c r="A11" s="696"/>
      <c r="B11" s="697"/>
      <c r="C11" s="699"/>
      <c r="D11" s="699"/>
      <c r="E11" s="699"/>
      <c r="F11" s="699"/>
      <c r="G11" s="710"/>
      <c r="H11" s="711"/>
      <c r="I11" s="711"/>
      <c r="J11" s="703"/>
      <c r="K11" s="699"/>
      <c r="L11" s="699"/>
      <c r="M11" s="699"/>
      <c r="N11" s="699"/>
      <c r="O11" s="699"/>
      <c r="P11" s="699"/>
      <c r="Q11" s="712"/>
      <c r="R11" s="713"/>
      <c r="S11" s="713"/>
      <c r="T11" s="713"/>
      <c r="U11" s="713"/>
      <c r="V11" s="713"/>
      <c r="W11" s="713"/>
      <c r="X11" s="713"/>
      <c r="Y11" s="713"/>
      <c r="Z11" s="713"/>
      <c r="AA11" s="707"/>
    </row>
    <row r="12" spans="1:27" ht="16.5" thickBot="1">
      <c r="A12" s="714"/>
      <c r="B12" s="715"/>
      <c r="C12" s="716"/>
      <c r="D12" s="716"/>
      <c r="E12" s="716"/>
      <c r="F12" s="716"/>
      <c r="G12" s="717"/>
      <c r="H12" s="718"/>
      <c r="I12" s="718"/>
      <c r="J12" s="716"/>
      <c r="K12" s="716"/>
      <c r="L12" s="716"/>
      <c r="M12" s="716"/>
      <c r="N12" s="716"/>
      <c r="O12" s="716"/>
      <c r="P12" s="716"/>
      <c r="Q12" s="721"/>
      <c r="R12" s="721"/>
      <c r="S12" s="721"/>
      <c r="T12" s="722"/>
      <c r="U12" s="722"/>
      <c r="V12" s="722"/>
      <c r="W12" s="722"/>
      <c r="X12" s="722"/>
      <c r="Y12" s="722"/>
      <c r="Z12" s="721"/>
      <c r="AA12" s="719"/>
    </row>
    <row r="13" spans="3:27" ht="15.75">
      <c r="C13" s="101" t="s">
        <v>1338</v>
      </c>
      <c r="D13" s="101"/>
      <c r="AA13"/>
    </row>
  </sheetData>
  <sheetProtection/>
  <mergeCells count="24">
    <mergeCell ref="A1:AA1"/>
    <mergeCell ref="A2:AA2"/>
    <mergeCell ref="A4:A5"/>
    <mergeCell ref="B4:B5"/>
    <mergeCell ref="C4:C5"/>
    <mergeCell ref="D4:D5"/>
    <mergeCell ref="E4:E5"/>
    <mergeCell ref="F4:G4"/>
    <mergeCell ref="H4:I4"/>
    <mergeCell ref="J4:J5"/>
    <mergeCell ref="K4:K5"/>
    <mergeCell ref="L4:L5"/>
    <mergeCell ref="M4:M5"/>
    <mergeCell ref="N4:N5"/>
    <mergeCell ref="O4:O5"/>
    <mergeCell ref="P4:P5"/>
    <mergeCell ref="Z4:Z5"/>
    <mergeCell ref="AA4:AA5"/>
    <mergeCell ref="Q4:Q5"/>
    <mergeCell ref="R4:R5"/>
    <mergeCell ref="S4:S5"/>
    <mergeCell ref="T4:T5"/>
    <mergeCell ref="U4:U5"/>
    <mergeCell ref="V4:Y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C13" sqref="C13"/>
    </sheetView>
  </sheetViews>
  <sheetFormatPr defaultColWidth="8.796875" defaultRowHeight="15"/>
  <cols>
    <col min="1" max="1" width="5.3984375" style="1" customWidth="1"/>
    <col min="2" max="2" width="39" style="1" customWidth="1"/>
    <col min="3" max="3" width="10" style="1" customWidth="1"/>
    <col min="4" max="4" width="11.59765625" style="1" customWidth="1"/>
    <col min="5" max="5" width="10.59765625" style="1" customWidth="1"/>
    <col min="6" max="6" width="9.19921875" style="1" customWidth="1"/>
    <col min="7" max="16384" width="9" style="1" customWidth="1"/>
  </cols>
  <sheetData>
    <row r="1" spans="1:6" ht="21.75" customHeight="1">
      <c r="A1" s="71" t="s">
        <v>674</v>
      </c>
      <c r="B1" s="5"/>
      <c r="C1" s="5"/>
      <c r="D1" s="5"/>
      <c r="E1" s="5"/>
      <c r="F1" s="5"/>
    </row>
    <row r="2" spans="1:6" ht="19.5">
      <c r="A2" s="125" t="s">
        <v>761</v>
      </c>
      <c r="B2" s="5"/>
      <c r="C2" s="5"/>
      <c r="D2" s="5"/>
      <c r="E2" s="5"/>
      <c r="F2" s="5"/>
    </row>
    <row r="4" spans="1:6" ht="19.5" customHeight="1">
      <c r="A4" s="16" t="s">
        <v>488</v>
      </c>
      <c r="B4" s="16" t="s">
        <v>487</v>
      </c>
      <c r="C4" s="10" t="s">
        <v>716</v>
      </c>
      <c r="D4" s="10"/>
      <c r="E4" s="74" t="s">
        <v>489</v>
      </c>
      <c r="F4" s="17" t="s">
        <v>490</v>
      </c>
    </row>
    <row r="5" spans="1:6" ht="19.5" customHeight="1">
      <c r="A5" s="23"/>
      <c r="B5" s="23"/>
      <c r="C5" s="9" t="s">
        <v>500</v>
      </c>
      <c r="D5" s="9" t="s">
        <v>603</v>
      </c>
      <c r="E5" s="24" t="s">
        <v>697</v>
      </c>
      <c r="F5" s="9"/>
    </row>
    <row r="6" spans="1:6" ht="19.5" customHeight="1">
      <c r="A6" s="18"/>
      <c r="B6" s="18"/>
      <c r="C6" s="9"/>
      <c r="D6" s="9" t="s">
        <v>604</v>
      </c>
      <c r="E6" s="22"/>
      <c r="F6" s="19"/>
    </row>
    <row r="7" spans="1:6" ht="19.5" customHeight="1">
      <c r="A7" s="11"/>
      <c r="B7" s="12"/>
      <c r="C7" s="11"/>
      <c r="D7" s="11"/>
      <c r="E7" s="11"/>
      <c r="F7" s="11"/>
    </row>
    <row r="8" spans="1:6" ht="19.5" customHeight="1">
      <c r="A8" s="6">
        <v>1</v>
      </c>
      <c r="B8" s="7" t="s">
        <v>485</v>
      </c>
      <c r="C8" s="7"/>
      <c r="D8" s="7"/>
      <c r="E8" s="7"/>
      <c r="F8" s="7"/>
    </row>
    <row r="9" spans="1:6" ht="19.5" customHeight="1">
      <c r="A9" s="6"/>
      <c r="B9" s="13" t="s">
        <v>501</v>
      </c>
      <c r="C9" s="7"/>
      <c r="D9" s="7"/>
      <c r="E9" s="7"/>
      <c r="F9" s="7"/>
    </row>
    <row r="10" spans="1:6" ht="19.5" customHeight="1">
      <c r="A10" s="6"/>
      <c r="B10" s="13" t="s">
        <v>593</v>
      </c>
      <c r="C10" s="7"/>
      <c r="D10" s="7"/>
      <c r="E10" s="7"/>
      <c r="F10" s="7"/>
    </row>
    <row r="11" spans="1:6" ht="19.5" customHeight="1">
      <c r="A11" s="6">
        <v>2</v>
      </c>
      <c r="B11" s="7" t="s">
        <v>483</v>
      </c>
      <c r="C11" s="7"/>
      <c r="D11" s="7"/>
      <c r="E11" s="7"/>
      <c r="F11" s="7"/>
    </row>
    <row r="12" spans="1:6" ht="19.5" customHeight="1">
      <c r="A12" s="6">
        <v>3</v>
      </c>
      <c r="B12" s="7" t="s">
        <v>606</v>
      </c>
      <c r="C12" s="7"/>
      <c r="D12" s="7"/>
      <c r="E12" s="7"/>
      <c r="F12" s="7"/>
    </row>
    <row r="13" spans="1:6" ht="19.5" customHeight="1">
      <c r="A13" s="6"/>
      <c r="B13" s="13" t="s">
        <v>698</v>
      </c>
      <c r="C13" s="7"/>
      <c r="D13" s="7"/>
      <c r="E13" s="7"/>
      <c r="F13" s="7"/>
    </row>
    <row r="14" spans="1:6" ht="19.5" customHeight="1">
      <c r="A14" s="6"/>
      <c r="B14" s="13" t="s">
        <v>502</v>
      </c>
      <c r="C14" s="7"/>
      <c r="D14" s="7"/>
      <c r="E14" s="7"/>
      <c r="F14" s="7"/>
    </row>
    <row r="15" spans="1:6" ht="19.5" customHeight="1">
      <c r="A15" s="6"/>
      <c r="B15" s="13" t="s">
        <v>602</v>
      </c>
      <c r="C15" s="7"/>
      <c r="D15" s="7"/>
      <c r="E15" s="7"/>
      <c r="F15" s="7"/>
    </row>
    <row r="16" spans="1:6" ht="19.5" customHeight="1">
      <c r="A16" s="6"/>
      <c r="B16" s="13" t="s">
        <v>596</v>
      </c>
      <c r="C16" s="7"/>
      <c r="D16" s="7"/>
      <c r="E16" s="7"/>
      <c r="F16" s="7"/>
    </row>
    <row r="17" spans="1:6" ht="19.5" customHeight="1">
      <c r="A17" s="6"/>
      <c r="B17" s="13" t="s">
        <v>622</v>
      </c>
      <c r="C17" s="7"/>
      <c r="D17" s="7"/>
      <c r="E17" s="7"/>
      <c r="F17" s="7"/>
    </row>
    <row r="18" spans="1:6" ht="19.5" customHeight="1">
      <c r="A18" s="6"/>
      <c r="B18" s="13" t="s">
        <v>594</v>
      </c>
      <c r="C18" s="7"/>
      <c r="D18" s="7"/>
      <c r="E18" s="7"/>
      <c r="F18" s="7"/>
    </row>
    <row r="19" spans="1:6" ht="19.5" customHeight="1">
      <c r="A19" s="6"/>
      <c r="B19" s="13" t="s">
        <v>595</v>
      </c>
      <c r="C19" s="7"/>
      <c r="D19" s="7"/>
      <c r="E19" s="7"/>
      <c r="F19" s="7"/>
    </row>
    <row r="20" spans="1:6" ht="19.5" customHeight="1">
      <c r="A20" s="21">
        <v>4</v>
      </c>
      <c r="B20" s="20" t="s">
        <v>609</v>
      </c>
      <c r="C20" s="20"/>
      <c r="D20" s="20"/>
      <c r="E20" s="20"/>
      <c r="F20" s="20"/>
    </row>
    <row r="21" spans="1:6" ht="19.5" customHeight="1">
      <c r="A21" s="21">
        <v>5</v>
      </c>
      <c r="B21" s="20" t="s">
        <v>598</v>
      </c>
      <c r="C21" s="20"/>
      <c r="D21" s="20"/>
      <c r="E21" s="20"/>
      <c r="F21" s="20"/>
    </row>
    <row r="22" spans="1:6" ht="19.5" customHeight="1">
      <c r="A22" s="21">
        <v>6</v>
      </c>
      <c r="B22" s="20" t="s">
        <v>618</v>
      </c>
      <c r="C22" s="20"/>
      <c r="D22" s="20"/>
      <c r="E22" s="20"/>
      <c r="F22" s="20"/>
    </row>
    <row r="23" spans="1:6" ht="19.5" customHeight="1">
      <c r="A23" s="6">
        <v>7</v>
      </c>
      <c r="B23" s="7" t="s">
        <v>599</v>
      </c>
      <c r="C23" s="7"/>
      <c r="D23" s="7"/>
      <c r="E23" s="7"/>
      <c r="F23" s="7"/>
    </row>
    <row r="24" spans="1:6" ht="19.5" customHeight="1">
      <c r="A24" s="8"/>
      <c r="B24" s="8"/>
      <c r="C24" s="8"/>
      <c r="D24" s="8"/>
      <c r="E24" s="8"/>
      <c r="F24" s="8"/>
    </row>
    <row r="25" spans="1:6" ht="19.5" customHeight="1">
      <c r="A25" s="14"/>
      <c r="B25" s="15" t="s">
        <v>597</v>
      </c>
      <c r="C25" s="14"/>
      <c r="D25" s="14"/>
      <c r="E25" s="14"/>
      <c r="F25" s="14"/>
    </row>
    <row r="26" ht="16.5">
      <c r="B26"/>
    </row>
  </sheetData>
  <sheetProtection/>
  <printOptions/>
  <pageMargins left="0.69" right="0.47"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K22"/>
  <sheetViews>
    <sheetView zoomScale="85" zoomScaleNormal="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N10" sqref="N10"/>
    </sheetView>
  </sheetViews>
  <sheetFormatPr defaultColWidth="8.796875" defaultRowHeight="15"/>
  <cols>
    <col min="1" max="1" width="4.09765625" style="604" customWidth="1"/>
    <col min="2" max="2" width="53.69921875" style="604" customWidth="1"/>
    <col min="3" max="3" width="8.19921875" style="604" customWidth="1"/>
    <col min="4" max="4" width="8.3984375" style="604" customWidth="1"/>
    <col min="5" max="5" width="8.09765625" style="604" customWidth="1"/>
    <col min="6" max="6" width="8.19921875" style="604" customWidth="1"/>
    <col min="7" max="7" width="9.5" style="604" customWidth="1"/>
    <col min="8" max="8" width="8.69921875" style="604" customWidth="1"/>
    <col min="9" max="9" width="8.3984375" style="604" customWidth="1"/>
    <col min="10" max="10" width="8.19921875" style="604" customWidth="1"/>
    <col min="11" max="11" width="7.5" style="604" customWidth="1"/>
    <col min="12" max="16384" width="9" style="604" customWidth="1"/>
  </cols>
  <sheetData>
    <row r="1" spans="1:9" ht="24.75" customHeight="1">
      <c r="A1" s="1518" t="s">
        <v>1456</v>
      </c>
      <c r="B1" s="1518"/>
      <c r="C1" s="1518"/>
      <c r="D1" s="1518"/>
      <c r="E1" s="1518"/>
      <c r="F1" s="1518"/>
      <c r="G1" s="1518"/>
      <c r="H1" s="1518"/>
      <c r="I1" s="1518"/>
    </row>
    <row r="2" spans="1:9" ht="21" customHeight="1">
      <c r="A2" s="740" t="s">
        <v>2315</v>
      </c>
      <c r="B2" s="741"/>
      <c r="C2" s="741"/>
      <c r="D2" s="740"/>
      <c r="E2" s="740"/>
      <c r="F2" s="740"/>
      <c r="G2" s="740"/>
      <c r="H2" s="740"/>
      <c r="I2" s="740"/>
    </row>
    <row r="3" spans="1:3" ht="8.25" customHeight="1">
      <c r="A3" s="641"/>
      <c r="B3" s="605"/>
      <c r="C3" s="605"/>
    </row>
    <row r="4" spans="1:11" s="628" customFormat="1" ht="24" customHeight="1">
      <c r="A4" s="1519" t="s">
        <v>488</v>
      </c>
      <c r="B4" s="1519" t="s">
        <v>1176</v>
      </c>
      <c r="C4" s="1522" t="s">
        <v>1478</v>
      </c>
      <c r="D4" s="1524" t="s">
        <v>1163</v>
      </c>
      <c r="E4" s="1524"/>
      <c r="F4" s="1524"/>
      <c r="G4" s="1524"/>
      <c r="H4" s="1524"/>
      <c r="I4" s="1524"/>
      <c r="J4" s="1524"/>
      <c r="K4" s="1524"/>
    </row>
    <row r="5" spans="1:11" s="628" customFormat="1" ht="70.5" customHeight="1">
      <c r="A5" s="1520"/>
      <c r="B5" s="1520"/>
      <c r="C5" s="1523"/>
      <c r="D5" s="1133" t="s">
        <v>1165</v>
      </c>
      <c r="E5" s="1133" t="s">
        <v>1359</v>
      </c>
      <c r="F5" s="1133" t="s">
        <v>1417</v>
      </c>
      <c r="G5" s="1133" t="s">
        <v>1429</v>
      </c>
      <c r="H5" s="1133" t="s">
        <v>1477</v>
      </c>
      <c r="I5" s="1133" t="s">
        <v>1509</v>
      </c>
      <c r="J5" s="1134" t="s">
        <v>1430</v>
      </c>
      <c r="K5" s="1134" t="s">
        <v>1431</v>
      </c>
    </row>
    <row r="6" spans="1:11" s="628" customFormat="1" ht="19.5" customHeight="1">
      <c r="A6" s="1135" t="s">
        <v>486</v>
      </c>
      <c r="B6" s="1136" t="s">
        <v>1348</v>
      </c>
      <c r="C6" s="1136"/>
      <c r="D6" s="1137"/>
      <c r="E6" s="1137"/>
      <c r="F6" s="1137"/>
      <c r="G6" s="1137"/>
      <c r="H6" s="1137"/>
      <c r="I6" s="1137"/>
      <c r="J6" s="1014"/>
      <c r="K6" s="1014"/>
    </row>
    <row r="7" spans="1:11" s="628" customFormat="1" ht="19.5" customHeight="1">
      <c r="A7" s="1138"/>
      <c r="B7" s="1139" t="s">
        <v>1343</v>
      </c>
      <c r="C7" s="1165">
        <v>7</v>
      </c>
      <c r="D7" s="1154">
        <f>SUM(E7:K7)</f>
        <v>7</v>
      </c>
      <c r="E7" s="1155">
        <v>1</v>
      </c>
      <c r="F7" s="1155">
        <v>1</v>
      </c>
      <c r="G7" s="1155">
        <v>1</v>
      </c>
      <c r="H7" s="1155">
        <v>1</v>
      </c>
      <c r="I7" s="1155">
        <v>1</v>
      </c>
      <c r="J7" s="1156">
        <v>1</v>
      </c>
      <c r="K7" s="1156">
        <v>1</v>
      </c>
    </row>
    <row r="8" spans="1:11" s="628" customFormat="1" ht="19.5" customHeight="1">
      <c r="A8" s="1018"/>
      <c r="B8" s="1140" t="s">
        <v>1512</v>
      </c>
      <c r="C8" s="1166">
        <v>34</v>
      </c>
      <c r="D8" s="1154">
        <f>SUM(E8:K8)</f>
        <v>34</v>
      </c>
      <c r="E8" s="1157"/>
      <c r="F8" s="1157">
        <v>1</v>
      </c>
      <c r="G8" s="1157">
        <v>4</v>
      </c>
      <c r="H8" s="1157">
        <v>13</v>
      </c>
      <c r="I8" s="1157">
        <v>16</v>
      </c>
      <c r="J8" s="1157">
        <v>0</v>
      </c>
      <c r="K8" s="1157">
        <v>0</v>
      </c>
    </row>
    <row r="9" spans="1:11" s="797" customFormat="1" ht="33" customHeight="1">
      <c r="A9" s="1019"/>
      <c r="B9" s="1141" t="s">
        <v>1510</v>
      </c>
      <c r="C9" s="1167"/>
      <c r="D9" s="1154">
        <f>SUM(E9:K9)</f>
        <v>31</v>
      </c>
      <c r="E9" s="1158">
        <v>0</v>
      </c>
      <c r="F9" s="1157">
        <v>1</v>
      </c>
      <c r="G9" s="1157">
        <v>4</v>
      </c>
      <c r="H9" s="1157">
        <v>13</v>
      </c>
      <c r="I9" s="1158">
        <v>13</v>
      </c>
      <c r="J9" s="1158">
        <v>0</v>
      </c>
      <c r="K9" s="1158">
        <v>0</v>
      </c>
    </row>
    <row r="10" spans="1:11" s="797" customFormat="1" ht="36" customHeight="1">
      <c r="A10" s="1019"/>
      <c r="B10" s="1143" t="s">
        <v>1511</v>
      </c>
      <c r="C10" s="1167"/>
      <c r="D10" s="1154">
        <f>SUM(E10:K10)</f>
        <v>3</v>
      </c>
      <c r="E10" s="1158">
        <v>0</v>
      </c>
      <c r="F10" s="1158">
        <v>0</v>
      </c>
      <c r="G10" s="1158">
        <v>0</v>
      </c>
      <c r="H10" s="1158">
        <v>0</v>
      </c>
      <c r="I10" s="1158">
        <v>3</v>
      </c>
      <c r="J10" s="1158">
        <v>0</v>
      </c>
      <c r="K10" s="1158">
        <v>0</v>
      </c>
    </row>
    <row r="11" spans="1:11" s="628" customFormat="1" ht="38.25" customHeight="1">
      <c r="A11" s="1018"/>
      <c r="B11" s="1144" t="s">
        <v>1344</v>
      </c>
      <c r="C11" s="1168">
        <v>10400</v>
      </c>
      <c r="D11" s="1159">
        <f>E11+F11+G11+H11+I11+J11+K11</f>
        <v>12304</v>
      </c>
      <c r="E11" s="1157">
        <v>0</v>
      </c>
      <c r="F11" s="1157">
        <v>0</v>
      </c>
      <c r="G11" s="1174">
        <v>5802</v>
      </c>
      <c r="H11" s="1174">
        <f>H12+H13</f>
        <v>724</v>
      </c>
      <c r="I11" s="1174">
        <v>4089</v>
      </c>
      <c r="J11" s="1174">
        <f>J12+J13</f>
        <v>1689</v>
      </c>
      <c r="K11" s="1157">
        <f>K12+K13</f>
        <v>0</v>
      </c>
    </row>
    <row r="12" spans="1:11" s="628" customFormat="1" ht="33.75" customHeight="1">
      <c r="A12" s="1018"/>
      <c r="B12" s="1145" t="s">
        <v>1418</v>
      </c>
      <c r="C12" s="1169"/>
      <c r="D12" s="1159">
        <f>E12+F12+G12+H12+I12+J12+K12</f>
        <v>11451</v>
      </c>
      <c r="E12" s="1157">
        <v>0</v>
      </c>
      <c r="F12" s="1157">
        <v>0</v>
      </c>
      <c r="G12" s="1174">
        <v>5083</v>
      </c>
      <c r="H12" s="1174">
        <v>590</v>
      </c>
      <c r="I12" s="1174">
        <v>4089</v>
      </c>
      <c r="J12" s="1174">
        <v>1689</v>
      </c>
      <c r="K12" s="1157">
        <v>0</v>
      </c>
    </row>
    <row r="13" spans="1:11" s="628" customFormat="1" ht="35.25" customHeight="1">
      <c r="A13" s="1146"/>
      <c r="B13" s="1147" t="s">
        <v>1419</v>
      </c>
      <c r="C13" s="1170"/>
      <c r="D13" s="1159">
        <f>E13+F13+G13+H13+I13+J13+K13</f>
        <v>853</v>
      </c>
      <c r="E13" s="1160">
        <v>0</v>
      </c>
      <c r="F13" s="1160">
        <v>0</v>
      </c>
      <c r="G13" s="1160">
        <f>G11-G12</f>
        <v>719</v>
      </c>
      <c r="H13" s="1160">
        <v>134</v>
      </c>
      <c r="I13" s="1160">
        <v>0</v>
      </c>
      <c r="J13" s="1160">
        <v>0</v>
      </c>
      <c r="K13" s="1160">
        <v>0</v>
      </c>
    </row>
    <row r="14" spans="1:11" s="628" customFormat="1" ht="19.5" customHeight="1">
      <c r="A14" s="1135" t="s">
        <v>484</v>
      </c>
      <c r="B14" s="1136" t="s">
        <v>1177</v>
      </c>
      <c r="C14" s="606"/>
      <c r="D14" s="1161"/>
      <c r="E14" s="1161"/>
      <c r="F14" s="1161"/>
      <c r="G14" s="1161"/>
      <c r="H14" s="1161"/>
      <c r="I14" s="1161"/>
      <c r="J14" s="1161"/>
      <c r="K14" s="1161"/>
    </row>
    <row r="15" spans="1:11" s="628" customFormat="1" ht="35.25" customHeight="1">
      <c r="A15" s="1138"/>
      <c r="B15" s="1148" t="s">
        <v>1345</v>
      </c>
      <c r="C15" s="1171">
        <v>4282</v>
      </c>
      <c r="D15" s="1159">
        <f>E15+F15+G15+H15+I15+J15+K15</f>
        <v>5906</v>
      </c>
      <c r="E15" s="1154">
        <v>0</v>
      </c>
      <c r="F15" s="1154">
        <v>0</v>
      </c>
      <c r="G15" s="1154">
        <v>0</v>
      </c>
      <c r="H15" s="1154">
        <v>0</v>
      </c>
      <c r="I15" s="1154">
        <v>0</v>
      </c>
      <c r="J15" s="1162">
        <v>3624</v>
      </c>
      <c r="K15" s="1162">
        <v>2282</v>
      </c>
    </row>
    <row r="16" spans="1:11" s="628" customFormat="1" ht="51" customHeight="1">
      <c r="A16" s="1146"/>
      <c r="B16" s="1149" t="s">
        <v>1353</v>
      </c>
      <c r="C16" s="1172">
        <v>15</v>
      </c>
      <c r="D16" s="1154">
        <f>E16+F16+G16+H16+I16+J16+K16</f>
        <v>34</v>
      </c>
      <c r="E16" s="1160">
        <v>0</v>
      </c>
      <c r="F16" s="1160">
        <v>0</v>
      </c>
      <c r="G16" s="1160">
        <v>0</v>
      </c>
      <c r="H16" s="1160">
        <v>1</v>
      </c>
      <c r="I16" s="1160">
        <v>4</v>
      </c>
      <c r="J16" s="1160">
        <v>13</v>
      </c>
      <c r="K16" s="1160">
        <v>16</v>
      </c>
    </row>
    <row r="17" spans="1:11" s="628" customFormat="1" ht="19.5" customHeight="1">
      <c r="A17" s="1135" t="s">
        <v>496</v>
      </c>
      <c r="B17" s="1136" t="s">
        <v>1178</v>
      </c>
      <c r="C17" s="606"/>
      <c r="D17" s="1161"/>
      <c r="E17" s="1161"/>
      <c r="F17" s="1161"/>
      <c r="G17" s="1161"/>
      <c r="H17" s="1161"/>
      <c r="I17" s="1161"/>
      <c r="J17" s="1161"/>
      <c r="K17" s="1161"/>
    </row>
    <row r="18" spans="1:11" s="628" customFormat="1" ht="30.75" customHeight="1">
      <c r="A18" s="1150"/>
      <c r="B18" s="1151" t="s">
        <v>1179</v>
      </c>
      <c r="C18" s="1165">
        <v>14</v>
      </c>
      <c r="D18" s="1154">
        <f>E18+F18+G18+H18+I18+J18+K18</f>
        <v>14</v>
      </c>
      <c r="E18" s="1156">
        <v>2</v>
      </c>
      <c r="F18" s="1156">
        <v>2</v>
      </c>
      <c r="G18" s="1156">
        <v>2</v>
      </c>
      <c r="H18" s="1156">
        <v>2</v>
      </c>
      <c r="I18" s="1156">
        <v>2</v>
      </c>
      <c r="J18" s="1156">
        <v>2</v>
      </c>
      <c r="K18" s="1156">
        <v>2</v>
      </c>
    </row>
    <row r="19" spans="1:11" s="628" customFormat="1" ht="33.75" customHeight="1">
      <c r="A19" s="1152"/>
      <c r="B19" s="1152" t="s">
        <v>1180</v>
      </c>
      <c r="C19" s="1173">
        <v>7</v>
      </c>
      <c r="D19" s="1163">
        <f>E19+F19+G19+H19+I19+J19+K19</f>
        <v>7</v>
      </c>
      <c r="E19" s="1164">
        <v>1</v>
      </c>
      <c r="F19" s="1164">
        <v>1</v>
      </c>
      <c r="G19" s="1164">
        <v>1</v>
      </c>
      <c r="H19" s="1164">
        <v>1</v>
      </c>
      <c r="I19" s="1164">
        <v>1</v>
      </c>
      <c r="J19" s="1164">
        <v>1</v>
      </c>
      <c r="K19" s="1164">
        <v>1</v>
      </c>
    </row>
    <row r="20" s="747" customFormat="1" ht="33" customHeight="1"/>
    <row r="21" spans="2:9" s="798" customFormat="1" ht="72.75" customHeight="1">
      <c r="B21" s="1521"/>
      <c r="C21" s="1521"/>
      <c r="D21" s="1521"/>
      <c r="E21" s="1521"/>
      <c r="F21" s="1521"/>
      <c r="G21" s="1521"/>
      <c r="H21" s="1521"/>
      <c r="I21" s="1521"/>
    </row>
    <row r="22" spans="2:9" ht="36" customHeight="1">
      <c r="B22" s="1517"/>
      <c r="C22" s="1517"/>
      <c r="D22" s="1517"/>
      <c r="E22" s="1517"/>
      <c r="F22" s="1517"/>
      <c r="G22" s="1517"/>
      <c r="H22" s="1517"/>
      <c r="I22" s="1517"/>
    </row>
  </sheetData>
  <sheetProtection/>
  <mergeCells count="7">
    <mergeCell ref="B22:I22"/>
    <mergeCell ref="A1:I1"/>
    <mergeCell ref="A4:A5"/>
    <mergeCell ref="B4:B5"/>
    <mergeCell ref="B21:I21"/>
    <mergeCell ref="C4:C5"/>
    <mergeCell ref="D4:K4"/>
  </mergeCells>
  <printOptions horizontalCentered="1"/>
  <pageMargins left="0.2" right="0.2" top="0.3" bottom="0.2"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T84"/>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T8" sqref="T8"/>
    </sheetView>
  </sheetViews>
  <sheetFormatPr defaultColWidth="8.796875" defaultRowHeight="15"/>
  <cols>
    <col min="1" max="1" width="4.09765625" style="628" customWidth="1"/>
    <col min="2" max="2" width="11.69921875" style="628" customWidth="1"/>
    <col min="3" max="6" width="6.59765625" style="628" customWidth="1"/>
    <col min="7" max="14" width="7" style="628" customWidth="1"/>
    <col min="15" max="18" width="7.09765625" style="628" customWidth="1"/>
    <col min="19" max="16384" width="9" style="628" customWidth="1"/>
  </cols>
  <sheetData>
    <row r="1" spans="1:18" s="101" customFormat="1" ht="21.75" customHeight="1">
      <c r="A1" s="1483" t="s">
        <v>1442</v>
      </c>
      <c r="B1" s="1483"/>
      <c r="C1" s="1483"/>
      <c r="D1" s="1483"/>
      <c r="E1" s="1483"/>
      <c r="F1" s="1483"/>
      <c r="G1" s="1483"/>
      <c r="H1" s="1483"/>
      <c r="I1" s="1483"/>
      <c r="J1" s="1483"/>
      <c r="K1" s="1483"/>
      <c r="L1" s="1483"/>
      <c r="M1" s="1483"/>
      <c r="N1" s="1483"/>
      <c r="O1" s="1483"/>
      <c r="P1" s="1483"/>
      <c r="Q1" s="1483"/>
      <c r="R1" s="1483"/>
    </row>
    <row r="2" spans="1:18" s="800" customFormat="1" ht="18" customHeight="1">
      <c r="A2" s="731" t="s">
        <v>2315</v>
      </c>
      <c r="B2" s="799"/>
      <c r="C2" s="799"/>
      <c r="D2" s="799"/>
      <c r="E2" s="799"/>
      <c r="F2" s="799"/>
      <c r="G2" s="799"/>
      <c r="H2" s="799"/>
      <c r="I2" s="799"/>
      <c r="J2" s="799"/>
      <c r="K2" s="799"/>
      <c r="L2" s="799"/>
      <c r="M2" s="799"/>
      <c r="N2" s="799"/>
      <c r="O2" s="799"/>
      <c r="P2" s="799"/>
      <c r="Q2" s="799"/>
      <c r="R2" s="799"/>
    </row>
    <row r="3" s="101" customFormat="1" ht="9" customHeight="1"/>
    <row r="4" spans="1:18" s="861" customFormat="1" ht="30.75" customHeight="1">
      <c r="A4" s="1527" t="s">
        <v>488</v>
      </c>
      <c r="B4" s="1527" t="s">
        <v>1166</v>
      </c>
      <c r="C4" s="1472" t="s">
        <v>1218</v>
      </c>
      <c r="D4" s="1472" t="s">
        <v>1219</v>
      </c>
      <c r="E4" s="1472" t="s">
        <v>1220</v>
      </c>
      <c r="F4" s="1531" t="s">
        <v>1298</v>
      </c>
      <c r="G4" s="1421" t="s">
        <v>1167</v>
      </c>
      <c r="H4" s="1422"/>
      <c r="I4" s="1422"/>
      <c r="J4" s="1422"/>
      <c r="K4" s="1422"/>
      <c r="L4" s="1422"/>
      <c r="M4" s="1422"/>
      <c r="N4" s="1423"/>
      <c r="O4" s="1421" t="s">
        <v>1375</v>
      </c>
      <c r="P4" s="1422"/>
      <c r="Q4" s="1422"/>
      <c r="R4" s="1423"/>
    </row>
    <row r="5" spans="1:18" s="861" customFormat="1" ht="24" customHeight="1">
      <c r="A5" s="1528"/>
      <c r="B5" s="1528"/>
      <c r="C5" s="1530"/>
      <c r="D5" s="1530"/>
      <c r="E5" s="1530"/>
      <c r="F5" s="1528"/>
      <c r="G5" s="1472" t="s">
        <v>947</v>
      </c>
      <c r="H5" s="1525" t="s">
        <v>1163</v>
      </c>
      <c r="I5" s="1525"/>
      <c r="J5" s="1525"/>
      <c r="K5" s="1525"/>
      <c r="L5" s="1525"/>
      <c r="M5" s="1525"/>
      <c r="N5" s="1525"/>
      <c r="O5" s="1472" t="s">
        <v>947</v>
      </c>
      <c r="P5" s="1525" t="s">
        <v>1169</v>
      </c>
      <c r="Q5" s="1525"/>
      <c r="R5" s="1525"/>
    </row>
    <row r="6" spans="1:18" s="861" customFormat="1" ht="60.75" customHeight="1">
      <c r="A6" s="1529"/>
      <c r="B6" s="1529"/>
      <c r="C6" s="1526"/>
      <c r="D6" s="1526"/>
      <c r="E6" s="1526"/>
      <c r="F6" s="1529"/>
      <c r="G6" s="1526"/>
      <c r="H6" s="810" t="s">
        <v>1360</v>
      </c>
      <c r="I6" s="810" t="s">
        <v>1420</v>
      </c>
      <c r="J6" s="810" t="s">
        <v>1429</v>
      </c>
      <c r="K6" s="810" t="s">
        <v>1479</v>
      </c>
      <c r="L6" s="810" t="s">
        <v>1513</v>
      </c>
      <c r="M6" s="810" t="s">
        <v>1577</v>
      </c>
      <c r="N6" s="810" t="s">
        <v>1431</v>
      </c>
      <c r="O6" s="1526"/>
      <c r="P6" s="810" t="s">
        <v>1170</v>
      </c>
      <c r="Q6" s="810" t="s">
        <v>1171</v>
      </c>
      <c r="R6" s="810" t="s">
        <v>737</v>
      </c>
    </row>
    <row r="7" spans="1:20" s="101" customFormat="1" ht="18" customHeight="1">
      <c r="A7" s="848"/>
      <c r="B7" s="848" t="s">
        <v>1165</v>
      </c>
      <c r="C7" s="854"/>
      <c r="D7" s="854"/>
      <c r="E7" s="854"/>
      <c r="F7" s="854"/>
      <c r="G7" s="855">
        <v>5083</v>
      </c>
      <c r="H7" s="855"/>
      <c r="I7" s="855">
        <v>614</v>
      </c>
      <c r="J7" s="855">
        <v>350</v>
      </c>
      <c r="K7" s="855">
        <v>577</v>
      </c>
      <c r="L7" s="855">
        <v>2222</v>
      </c>
      <c r="M7" s="855">
        <v>1120</v>
      </c>
      <c r="N7" s="855">
        <v>200</v>
      </c>
      <c r="O7" s="855">
        <v>4883</v>
      </c>
      <c r="P7" s="856">
        <v>4883</v>
      </c>
      <c r="Q7" s="855"/>
      <c r="R7" s="855"/>
      <c r="T7" s="101">
        <f>I7+J7+K7+L7+M7</f>
        <v>4883</v>
      </c>
    </row>
    <row r="8" spans="1:18" s="424" customFormat="1" ht="16.5" customHeight="1">
      <c r="A8" s="846" t="s">
        <v>486</v>
      </c>
      <c r="B8" s="847" t="s">
        <v>1804</v>
      </c>
      <c r="C8" s="854"/>
      <c r="D8" s="854"/>
      <c r="E8" s="854"/>
      <c r="F8" s="854"/>
      <c r="G8" s="854"/>
      <c r="H8" s="854"/>
      <c r="I8" s="854"/>
      <c r="J8" s="854"/>
      <c r="K8" s="854"/>
      <c r="L8" s="854"/>
      <c r="M8" s="854"/>
      <c r="N8" s="854"/>
      <c r="O8" s="854"/>
      <c r="P8" s="857"/>
      <c r="Q8" s="854"/>
      <c r="R8" s="846"/>
    </row>
    <row r="9" spans="1:18" s="101" customFormat="1" ht="18" customHeight="1">
      <c r="A9" s="652">
        <v>1</v>
      </c>
      <c r="B9" s="849" t="s">
        <v>1881</v>
      </c>
      <c r="C9" s="854">
        <v>648</v>
      </c>
      <c r="D9" s="854">
        <v>459</v>
      </c>
      <c r="E9" s="854">
        <v>70.9</v>
      </c>
      <c r="F9" s="854">
        <v>189</v>
      </c>
      <c r="G9" s="854">
        <v>86</v>
      </c>
      <c r="H9" s="854"/>
      <c r="I9" s="854">
        <v>76</v>
      </c>
      <c r="J9" s="854">
        <v>0</v>
      </c>
      <c r="K9" s="854">
        <v>0</v>
      </c>
      <c r="L9" s="854">
        <v>0</v>
      </c>
      <c r="M9" s="854">
        <v>10</v>
      </c>
      <c r="N9" s="854">
        <v>0</v>
      </c>
      <c r="O9" s="854">
        <v>86</v>
      </c>
      <c r="P9" s="857">
        <v>122</v>
      </c>
      <c r="Q9" s="854">
        <v>0</v>
      </c>
      <c r="R9" s="652">
        <v>0</v>
      </c>
    </row>
    <row r="10" spans="1:18" s="101" customFormat="1" ht="16.5" customHeight="1">
      <c r="A10" s="652">
        <v>2</v>
      </c>
      <c r="B10" s="849" t="s">
        <v>1776</v>
      </c>
      <c r="C10" s="854">
        <v>871</v>
      </c>
      <c r="D10" s="858">
        <v>644</v>
      </c>
      <c r="E10" s="859">
        <v>74</v>
      </c>
      <c r="F10" s="854">
        <v>227</v>
      </c>
      <c r="G10" s="854">
        <v>59</v>
      </c>
      <c r="H10" s="854"/>
      <c r="I10" s="854"/>
      <c r="J10" s="854">
        <v>49</v>
      </c>
      <c r="K10" s="854">
        <v>0</v>
      </c>
      <c r="L10" s="854">
        <v>0</v>
      </c>
      <c r="M10" s="854">
        <v>10</v>
      </c>
      <c r="N10" s="854">
        <v>0</v>
      </c>
      <c r="O10" s="854">
        <v>59</v>
      </c>
      <c r="P10" s="857">
        <v>59</v>
      </c>
      <c r="Q10" s="854">
        <v>0</v>
      </c>
      <c r="R10" s="652">
        <v>0</v>
      </c>
    </row>
    <row r="11" spans="1:18" s="101" customFormat="1" ht="16.5" customHeight="1">
      <c r="A11" s="652">
        <v>3</v>
      </c>
      <c r="B11" s="849" t="s">
        <v>1805</v>
      </c>
      <c r="C11" s="854">
        <v>731</v>
      </c>
      <c r="D11" s="854">
        <v>489</v>
      </c>
      <c r="E11" s="854">
        <v>67</v>
      </c>
      <c r="F11" s="854">
        <v>242</v>
      </c>
      <c r="G11" s="854">
        <v>339</v>
      </c>
      <c r="H11" s="854">
        <v>0</v>
      </c>
      <c r="I11" s="854">
        <v>0</v>
      </c>
      <c r="J11" s="854">
        <v>0</v>
      </c>
      <c r="K11" s="854">
        <v>63</v>
      </c>
      <c r="L11" s="854">
        <v>126</v>
      </c>
      <c r="M11" s="854">
        <v>100</v>
      </c>
      <c r="N11" s="854">
        <v>50</v>
      </c>
      <c r="O11" s="854">
        <v>339</v>
      </c>
      <c r="P11" s="857">
        <v>339</v>
      </c>
      <c r="Q11" s="854">
        <v>0</v>
      </c>
      <c r="R11" s="652">
        <v>0</v>
      </c>
    </row>
    <row r="12" spans="1:18" s="101" customFormat="1" ht="16.5" customHeight="1">
      <c r="A12" s="652">
        <v>4</v>
      </c>
      <c r="B12" s="850" t="s">
        <v>1774</v>
      </c>
      <c r="C12" s="854">
        <v>740</v>
      </c>
      <c r="D12" s="854">
        <v>521</v>
      </c>
      <c r="E12" s="854">
        <v>70.5</v>
      </c>
      <c r="F12" s="854">
        <v>219</v>
      </c>
      <c r="G12" s="854">
        <v>315</v>
      </c>
      <c r="H12" s="854">
        <v>0</v>
      </c>
      <c r="I12" s="854">
        <v>0</v>
      </c>
      <c r="J12" s="854">
        <v>86</v>
      </c>
      <c r="K12" s="854">
        <v>109</v>
      </c>
      <c r="L12" s="854">
        <v>110</v>
      </c>
      <c r="M12" s="854">
        <v>10</v>
      </c>
      <c r="N12" s="854">
        <v>0</v>
      </c>
      <c r="O12" s="854">
        <v>315</v>
      </c>
      <c r="P12" s="857">
        <v>315</v>
      </c>
      <c r="Q12" s="854">
        <v>0</v>
      </c>
      <c r="R12" s="652">
        <v>0</v>
      </c>
    </row>
    <row r="13" spans="1:18" s="101" customFormat="1" ht="16.5" customHeight="1">
      <c r="A13" s="652">
        <v>5</v>
      </c>
      <c r="B13" s="851" t="s">
        <v>1806</v>
      </c>
      <c r="C13" s="860">
        <v>581</v>
      </c>
      <c r="D13" s="854">
        <v>213</v>
      </c>
      <c r="E13" s="860" t="s">
        <v>1807</v>
      </c>
      <c r="F13" s="854">
        <v>368</v>
      </c>
      <c r="G13" s="854">
        <v>60</v>
      </c>
      <c r="H13" s="854">
        <v>0</v>
      </c>
      <c r="I13" s="854">
        <v>0</v>
      </c>
      <c r="J13" s="854">
        <v>0</v>
      </c>
      <c r="K13" s="854">
        <v>0</v>
      </c>
      <c r="L13" s="854">
        <v>60</v>
      </c>
      <c r="M13" s="854">
        <v>0</v>
      </c>
      <c r="N13" s="854">
        <v>0</v>
      </c>
      <c r="O13" s="854">
        <v>60</v>
      </c>
      <c r="P13" s="857">
        <v>60</v>
      </c>
      <c r="Q13" s="854">
        <v>0</v>
      </c>
      <c r="R13" s="652">
        <v>0</v>
      </c>
    </row>
    <row r="14" spans="1:18" s="101" customFormat="1" ht="16.5" customHeight="1">
      <c r="A14" s="652">
        <v>6</v>
      </c>
      <c r="B14" s="851" t="s">
        <v>1808</v>
      </c>
      <c r="C14" s="860">
        <v>436</v>
      </c>
      <c r="D14" s="854">
        <v>218</v>
      </c>
      <c r="E14" s="860" t="s">
        <v>1809</v>
      </c>
      <c r="F14" s="854">
        <v>218</v>
      </c>
      <c r="G14" s="854">
        <v>64</v>
      </c>
      <c r="H14" s="854">
        <v>0</v>
      </c>
      <c r="I14" s="854">
        <v>0</v>
      </c>
      <c r="J14" s="854">
        <v>0</v>
      </c>
      <c r="K14" s="854">
        <v>0</v>
      </c>
      <c r="L14" s="854">
        <v>64</v>
      </c>
      <c r="M14" s="854">
        <v>0</v>
      </c>
      <c r="N14" s="854">
        <v>0</v>
      </c>
      <c r="O14" s="854">
        <v>64</v>
      </c>
      <c r="P14" s="857">
        <v>64</v>
      </c>
      <c r="Q14" s="854">
        <v>0</v>
      </c>
      <c r="R14" s="652">
        <v>0</v>
      </c>
    </row>
    <row r="15" spans="1:18" s="101" customFormat="1" ht="16.5" customHeight="1">
      <c r="A15" s="652">
        <v>7</v>
      </c>
      <c r="B15" s="851" t="s">
        <v>1810</v>
      </c>
      <c r="C15" s="860">
        <v>322</v>
      </c>
      <c r="D15" s="854">
        <v>172</v>
      </c>
      <c r="E15" s="860" t="s">
        <v>1811</v>
      </c>
      <c r="F15" s="854">
        <v>150</v>
      </c>
      <c r="G15" s="854">
        <v>70</v>
      </c>
      <c r="H15" s="854">
        <v>0</v>
      </c>
      <c r="I15" s="854">
        <v>0</v>
      </c>
      <c r="J15" s="854">
        <v>0</v>
      </c>
      <c r="K15" s="854">
        <v>0</v>
      </c>
      <c r="L15" s="854">
        <v>70</v>
      </c>
      <c r="M15" s="854">
        <v>0</v>
      </c>
      <c r="N15" s="854">
        <v>0</v>
      </c>
      <c r="O15" s="854">
        <v>70</v>
      </c>
      <c r="P15" s="857">
        <v>70</v>
      </c>
      <c r="Q15" s="854">
        <v>0</v>
      </c>
      <c r="R15" s="652">
        <v>0</v>
      </c>
    </row>
    <row r="16" spans="1:18" s="101" customFormat="1" ht="16.5" customHeight="1">
      <c r="A16" s="652">
        <v>8</v>
      </c>
      <c r="B16" s="851" t="s">
        <v>1812</v>
      </c>
      <c r="C16" s="860">
        <v>362</v>
      </c>
      <c r="D16" s="854">
        <v>219</v>
      </c>
      <c r="E16" s="860" t="s">
        <v>1813</v>
      </c>
      <c r="F16" s="854">
        <v>143</v>
      </c>
      <c r="G16" s="854">
        <v>51</v>
      </c>
      <c r="H16" s="854">
        <v>0</v>
      </c>
      <c r="I16" s="854">
        <v>0</v>
      </c>
      <c r="J16" s="854">
        <v>0</v>
      </c>
      <c r="K16" s="854">
        <v>0</v>
      </c>
      <c r="L16" s="854">
        <v>51</v>
      </c>
      <c r="M16" s="854">
        <v>0</v>
      </c>
      <c r="N16" s="854">
        <v>0</v>
      </c>
      <c r="O16" s="854">
        <v>51</v>
      </c>
      <c r="P16" s="857">
        <v>51</v>
      </c>
      <c r="Q16" s="854">
        <v>0</v>
      </c>
      <c r="R16" s="652">
        <v>0</v>
      </c>
    </row>
    <row r="17" spans="1:18" s="101" customFormat="1" ht="16.5" customHeight="1">
      <c r="A17" s="652">
        <v>9</v>
      </c>
      <c r="B17" s="851" t="s">
        <v>1814</v>
      </c>
      <c r="C17" s="860">
        <v>871</v>
      </c>
      <c r="D17" s="854">
        <v>481</v>
      </c>
      <c r="E17" s="860" t="s">
        <v>1815</v>
      </c>
      <c r="F17" s="854">
        <v>390</v>
      </c>
      <c r="G17" s="854">
        <v>31</v>
      </c>
      <c r="H17" s="854">
        <v>0</v>
      </c>
      <c r="I17" s="854">
        <v>0</v>
      </c>
      <c r="J17" s="854">
        <v>0</v>
      </c>
      <c r="K17" s="854">
        <v>0</v>
      </c>
      <c r="L17" s="854">
        <v>31</v>
      </c>
      <c r="M17" s="854">
        <v>0</v>
      </c>
      <c r="N17" s="854">
        <v>0</v>
      </c>
      <c r="O17" s="854">
        <v>31</v>
      </c>
      <c r="P17" s="857">
        <v>31</v>
      </c>
      <c r="Q17" s="854">
        <v>0</v>
      </c>
      <c r="R17" s="652">
        <v>0</v>
      </c>
    </row>
    <row r="18" spans="1:18" s="101" customFormat="1" ht="16.5" customHeight="1">
      <c r="A18" s="846" t="s">
        <v>484</v>
      </c>
      <c r="B18" s="847" t="s">
        <v>1816</v>
      </c>
      <c r="C18" s="854"/>
      <c r="D18" s="854"/>
      <c r="E18" s="854"/>
      <c r="F18" s="854"/>
      <c r="G18" s="854"/>
      <c r="H18" s="854"/>
      <c r="I18" s="854"/>
      <c r="J18" s="854"/>
      <c r="K18" s="854"/>
      <c r="L18" s="854"/>
      <c r="M18" s="854"/>
      <c r="N18" s="854"/>
      <c r="O18" s="854"/>
      <c r="P18" s="857"/>
      <c r="Q18" s="854"/>
      <c r="R18" s="652"/>
    </row>
    <row r="19" spans="1:18" s="101" customFormat="1" ht="16.5" customHeight="1">
      <c r="A19" s="652">
        <v>1</v>
      </c>
      <c r="B19" s="849" t="s">
        <v>1747</v>
      </c>
      <c r="C19" s="854">
        <v>568</v>
      </c>
      <c r="D19" s="854">
        <v>400</v>
      </c>
      <c r="E19" s="854">
        <v>70.5</v>
      </c>
      <c r="F19" s="854">
        <v>168</v>
      </c>
      <c r="G19" s="854">
        <v>29</v>
      </c>
      <c r="H19" s="854">
        <v>0</v>
      </c>
      <c r="I19" s="854">
        <v>29</v>
      </c>
      <c r="J19" s="854">
        <v>0</v>
      </c>
      <c r="K19" s="854">
        <v>0</v>
      </c>
      <c r="L19" s="854">
        <v>0</v>
      </c>
      <c r="M19" s="854">
        <v>0</v>
      </c>
      <c r="N19" s="854">
        <v>0</v>
      </c>
      <c r="O19" s="854">
        <v>29</v>
      </c>
      <c r="P19" s="857">
        <v>29</v>
      </c>
      <c r="Q19" s="854">
        <v>0</v>
      </c>
      <c r="R19" s="652">
        <v>0</v>
      </c>
    </row>
    <row r="20" spans="1:18" s="101" customFormat="1" ht="16.5" customHeight="1">
      <c r="A20" s="652">
        <v>2</v>
      </c>
      <c r="B20" s="849" t="s">
        <v>1741</v>
      </c>
      <c r="C20" s="854">
        <v>527</v>
      </c>
      <c r="D20" s="854">
        <v>369</v>
      </c>
      <c r="E20" s="854">
        <v>70.1</v>
      </c>
      <c r="F20" s="854">
        <v>158</v>
      </c>
      <c r="G20" s="854">
        <v>183</v>
      </c>
      <c r="H20" s="854">
        <v>0</v>
      </c>
      <c r="I20" s="854">
        <v>0</v>
      </c>
      <c r="J20" s="854"/>
      <c r="K20" s="854">
        <v>123</v>
      </c>
      <c r="L20" s="854">
        <v>40</v>
      </c>
      <c r="M20" s="854">
        <v>20</v>
      </c>
      <c r="N20" s="854">
        <v>0</v>
      </c>
      <c r="O20" s="854">
        <v>183</v>
      </c>
      <c r="P20" s="857">
        <v>183</v>
      </c>
      <c r="Q20" s="854">
        <v>0</v>
      </c>
      <c r="R20" s="652">
        <v>0</v>
      </c>
    </row>
    <row r="21" spans="1:18" s="101" customFormat="1" ht="16.5" customHeight="1">
      <c r="A21" s="652">
        <v>3</v>
      </c>
      <c r="B21" s="849" t="s">
        <v>1748</v>
      </c>
      <c r="C21" s="854">
        <v>494</v>
      </c>
      <c r="D21" s="854">
        <v>360</v>
      </c>
      <c r="E21" s="854">
        <v>73</v>
      </c>
      <c r="F21" s="854">
        <v>134</v>
      </c>
      <c r="G21" s="854">
        <v>70</v>
      </c>
      <c r="H21" s="854">
        <v>0</v>
      </c>
      <c r="I21" s="854">
        <v>50</v>
      </c>
      <c r="J21" s="854">
        <v>0</v>
      </c>
      <c r="K21" s="854">
        <v>0</v>
      </c>
      <c r="L21" s="854">
        <v>0</v>
      </c>
      <c r="M21" s="854">
        <v>20</v>
      </c>
      <c r="N21" s="854">
        <v>0</v>
      </c>
      <c r="O21" s="854">
        <v>70</v>
      </c>
      <c r="P21" s="857">
        <v>70</v>
      </c>
      <c r="Q21" s="854">
        <v>0</v>
      </c>
      <c r="R21" s="652">
        <v>0</v>
      </c>
    </row>
    <row r="22" spans="1:18" s="101" customFormat="1" ht="16.5" customHeight="1">
      <c r="A22" s="652">
        <v>4</v>
      </c>
      <c r="B22" s="849" t="s">
        <v>1745</v>
      </c>
      <c r="C22" s="854">
        <v>532</v>
      </c>
      <c r="D22" s="854">
        <v>420</v>
      </c>
      <c r="E22" s="854">
        <v>79</v>
      </c>
      <c r="F22" s="854">
        <v>112</v>
      </c>
      <c r="G22" s="854">
        <v>93</v>
      </c>
      <c r="H22" s="854">
        <v>0</v>
      </c>
      <c r="I22" s="854">
        <v>73</v>
      </c>
      <c r="J22" s="854">
        <v>0</v>
      </c>
      <c r="K22" s="854">
        <v>0</v>
      </c>
      <c r="L22" s="854">
        <v>0</v>
      </c>
      <c r="M22" s="854">
        <v>0</v>
      </c>
      <c r="N22" s="854">
        <v>0</v>
      </c>
      <c r="O22" s="854">
        <v>73</v>
      </c>
      <c r="P22" s="857">
        <v>73</v>
      </c>
      <c r="Q22" s="854">
        <v>0</v>
      </c>
      <c r="R22" s="652">
        <v>0</v>
      </c>
    </row>
    <row r="23" spans="1:18" s="101" customFormat="1" ht="16.5" customHeight="1">
      <c r="A23" s="652">
        <v>5</v>
      </c>
      <c r="B23" s="850" t="s">
        <v>1817</v>
      </c>
      <c r="C23" s="854">
        <v>204</v>
      </c>
      <c r="D23" s="854">
        <v>81</v>
      </c>
      <c r="E23" s="854">
        <v>40</v>
      </c>
      <c r="F23" s="854">
        <v>123</v>
      </c>
      <c r="G23" s="854">
        <v>95</v>
      </c>
      <c r="H23" s="854">
        <v>0</v>
      </c>
      <c r="I23" s="854">
        <v>0</v>
      </c>
      <c r="J23" s="854">
        <v>0</v>
      </c>
      <c r="K23" s="854">
        <v>0</v>
      </c>
      <c r="L23" s="854">
        <v>75</v>
      </c>
      <c r="M23" s="854">
        <v>20</v>
      </c>
      <c r="N23" s="854">
        <v>0</v>
      </c>
      <c r="O23" s="854">
        <v>95</v>
      </c>
      <c r="P23" s="857">
        <v>95</v>
      </c>
      <c r="Q23" s="854">
        <v>0</v>
      </c>
      <c r="R23" s="652">
        <v>0</v>
      </c>
    </row>
    <row r="24" spans="1:18" s="101" customFormat="1" ht="16.5" customHeight="1">
      <c r="A24" s="652">
        <v>6</v>
      </c>
      <c r="B24" s="850" t="s">
        <v>1818</v>
      </c>
      <c r="C24" s="854">
        <v>938</v>
      </c>
      <c r="D24" s="854">
        <v>656</v>
      </c>
      <c r="E24" s="854">
        <v>70</v>
      </c>
      <c r="F24" s="854">
        <v>282</v>
      </c>
      <c r="G24" s="854">
        <v>56</v>
      </c>
      <c r="H24" s="854">
        <v>0</v>
      </c>
      <c r="I24" s="854">
        <v>0</v>
      </c>
      <c r="J24" s="854">
        <v>0</v>
      </c>
      <c r="K24" s="854">
        <v>0</v>
      </c>
      <c r="L24" s="854">
        <v>36</v>
      </c>
      <c r="M24" s="854">
        <v>20</v>
      </c>
      <c r="N24" s="854">
        <v>0</v>
      </c>
      <c r="O24" s="854">
        <v>56</v>
      </c>
      <c r="P24" s="857">
        <v>56</v>
      </c>
      <c r="Q24" s="854">
        <v>0</v>
      </c>
      <c r="R24" s="652">
        <v>0</v>
      </c>
    </row>
    <row r="25" spans="1:18" s="101" customFormat="1" ht="16.5" customHeight="1">
      <c r="A25" s="652">
        <v>7</v>
      </c>
      <c r="B25" s="851" t="s">
        <v>1819</v>
      </c>
      <c r="C25" s="860">
        <v>415</v>
      </c>
      <c r="D25" s="854">
        <v>249</v>
      </c>
      <c r="E25" s="860" t="s">
        <v>1820</v>
      </c>
      <c r="F25" s="854">
        <v>166</v>
      </c>
      <c r="G25" s="854">
        <v>77</v>
      </c>
      <c r="H25" s="854">
        <v>0</v>
      </c>
      <c r="I25" s="854">
        <v>0</v>
      </c>
      <c r="J25" s="854">
        <v>0</v>
      </c>
      <c r="K25" s="854">
        <v>0</v>
      </c>
      <c r="L25" s="854">
        <v>57</v>
      </c>
      <c r="M25" s="854">
        <v>30</v>
      </c>
      <c r="N25" s="854">
        <v>0</v>
      </c>
      <c r="O25" s="854">
        <v>87</v>
      </c>
      <c r="P25" s="857">
        <v>87</v>
      </c>
      <c r="Q25" s="854">
        <v>0</v>
      </c>
      <c r="R25" s="652">
        <v>0</v>
      </c>
    </row>
    <row r="26" spans="1:18" s="101" customFormat="1" ht="16.5" customHeight="1">
      <c r="A26" s="652">
        <v>8</v>
      </c>
      <c r="B26" s="851" t="s">
        <v>1821</v>
      </c>
      <c r="C26" s="860">
        <v>436</v>
      </c>
      <c r="D26" s="854">
        <v>216</v>
      </c>
      <c r="E26" s="860" t="s">
        <v>1822</v>
      </c>
      <c r="F26" s="854">
        <v>220</v>
      </c>
      <c r="G26" s="854">
        <v>81</v>
      </c>
      <c r="H26" s="854">
        <v>0</v>
      </c>
      <c r="I26" s="854">
        <v>0</v>
      </c>
      <c r="J26" s="854">
        <v>0</v>
      </c>
      <c r="K26" s="854">
        <v>0</v>
      </c>
      <c r="L26" s="854">
        <v>31</v>
      </c>
      <c r="M26" s="854">
        <v>0</v>
      </c>
      <c r="N26" s="854">
        <v>50</v>
      </c>
      <c r="O26" s="854">
        <v>81</v>
      </c>
      <c r="P26" s="857">
        <v>81</v>
      </c>
      <c r="Q26" s="854">
        <v>0</v>
      </c>
      <c r="R26" s="652">
        <v>0</v>
      </c>
    </row>
    <row r="27" spans="1:18" s="101" customFormat="1" ht="16.5" customHeight="1">
      <c r="A27" s="652">
        <v>9</v>
      </c>
      <c r="B27" s="851" t="s">
        <v>1823</v>
      </c>
      <c r="C27" s="860">
        <v>650</v>
      </c>
      <c r="D27" s="854">
        <v>471</v>
      </c>
      <c r="E27" s="860" t="s">
        <v>1824</v>
      </c>
      <c r="F27" s="854">
        <v>179</v>
      </c>
      <c r="G27" s="854">
        <v>21</v>
      </c>
      <c r="H27" s="854">
        <v>0</v>
      </c>
      <c r="I27" s="854">
        <v>0</v>
      </c>
      <c r="J27" s="854">
        <v>0</v>
      </c>
      <c r="K27" s="854">
        <v>0</v>
      </c>
      <c r="L27" s="854">
        <v>21</v>
      </c>
      <c r="M27" s="854">
        <v>0</v>
      </c>
      <c r="N27" s="854"/>
      <c r="O27" s="854">
        <v>21</v>
      </c>
      <c r="P27" s="857">
        <v>21</v>
      </c>
      <c r="Q27" s="854">
        <v>0</v>
      </c>
      <c r="R27" s="652">
        <v>0</v>
      </c>
    </row>
    <row r="28" spans="1:18" s="101" customFormat="1" ht="16.5" customHeight="1">
      <c r="A28" s="652">
        <v>10</v>
      </c>
      <c r="B28" s="851" t="s">
        <v>1825</v>
      </c>
      <c r="C28" s="860">
        <v>584</v>
      </c>
      <c r="D28" s="854">
        <v>353</v>
      </c>
      <c r="E28" s="860" t="s">
        <v>1826</v>
      </c>
      <c r="F28" s="854">
        <v>231</v>
      </c>
      <c r="G28" s="854">
        <v>30</v>
      </c>
      <c r="H28" s="854">
        <v>0</v>
      </c>
      <c r="I28" s="854">
        <v>0</v>
      </c>
      <c r="J28" s="854">
        <v>0</v>
      </c>
      <c r="K28" s="854">
        <v>0</v>
      </c>
      <c r="L28" s="854">
        <v>30</v>
      </c>
      <c r="M28" s="854">
        <v>0</v>
      </c>
      <c r="N28" s="854">
        <v>0</v>
      </c>
      <c r="O28" s="854">
        <v>30</v>
      </c>
      <c r="P28" s="857">
        <v>30</v>
      </c>
      <c r="Q28" s="854">
        <v>0</v>
      </c>
      <c r="R28" s="652">
        <v>0</v>
      </c>
    </row>
    <row r="29" spans="1:18" s="101" customFormat="1" ht="16.5" customHeight="1">
      <c r="A29" s="652">
        <v>11</v>
      </c>
      <c r="B29" s="851" t="s">
        <v>1882</v>
      </c>
      <c r="C29" s="860">
        <v>1029</v>
      </c>
      <c r="D29" s="854">
        <v>739</v>
      </c>
      <c r="E29" s="860">
        <v>71.9</v>
      </c>
      <c r="F29" s="854">
        <v>290</v>
      </c>
      <c r="G29" s="854">
        <v>20</v>
      </c>
      <c r="H29" s="854">
        <v>0</v>
      </c>
      <c r="I29" s="854">
        <v>0</v>
      </c>
      <c r="J29" s="854">
        <v>0</v>
      </c>
      <c r="K29" s="854">
        <v>0</v>
      </c>
      <c r="L29" s="854">
        <v>20</v>
      </c>
      <c r="M29" s="854">
        <v>10</v>
      </c>
      <c r="N29" s="854">
        <v>0</v>
      </c>
      <c r="O29" s="854">
        <v>30</v>
      </c>
      <c r="P29" s="857">
        <v>30</v>
      </c>
      <c r="Q29" s="854">
        <v>0</v>
      </c>
      <c r="R29" s="652">
        <v>0</v>
      </c>
    </row>
    <row r="30" spans="1:18" s="101" customFormat="1" ht="16.5" customHeight="1">
      <c r="A30" s="652">
        <v>12</v>
      </c>
      <c r="B30" s="851" t="s">
        <v>1827</v>
      </c>
      <c r="C30" s="860">
        <v>515</v>
      </c>
      <c r="D30" s="854">
        <v>360</v>
      </c>
      <c r="E30" s="860">
        <v>70</v>
      </c>
      <c r="F30" s="854">
        <v>155</v>
      </c>
      <c r="G30" s="854">
        <v>12</v>
      </c>
      <c r="H30" s="854">
        <v>0</v>
      </c>
      <c r="I30" s="854">
        <v>0</v>
      </c>
      <c r="J30" s="854">
        <v>0</v>
      </c>
      <c r="K30" s="854">
        <v>0</v>
      </c>
      <c r="L30" s="854">
        <v>12</v>
      </c>
      <c r="M30" s="854">
        <v>0</v>
      </c>
      <c r="N30" s="854">
        <v>0</v>
      </c>
      <c r="O30" s="854">
        <v>12</v>
      </c>
      <c r="P30" s="857">
        <v>12</v>
      </c>
      <c r="Q30" s="854">
        <v>0</v>
      </c>
      <c r="R30" s="652">
        <v>0</v>
      </c>
    </row>
    <row r="31" spans="1:18" s="101" customFormat="1" ht="16.5" customHeight="1">
      <c r="A31" s="846" t="s">
        <v>496</v>
      </c>
      <c r="B31" s="847" t="s">
        <v>1828</v>
      </c>
      <c r="C31" s="854"/>
      <c r="D31" s="854"/>
      <c r="E31" s="854"/>
      <c r="F31" s="854"/>
      <c r="G31" s="854"/>
      <c r="H31" s="854"/>
      <c r="I31" s="854"/>
      <c r="J31" s="854"/>
      <c r="K31" s="854"/>
      <c r="L31" s="854"/>
      <c r="M31" s="854"/>
      <c r="N31" s="854"/>
      <c r="O31" s="854"/>
      <c r="P31" s="857"/>
      <c r="Q31" s="854"/>
      <c r="R31" s="652"/>
    </row>
    <row r="32" spans="1:18" s="101" customFormat="1" ht="16.5" customHeight="1">
      <c r="A32" s="652">
        <v>1</v>
      </c>
      <c r="B32" s="849" t="s">
        <v>1780</v>
      </c>
      <c r="C32" s="854">
        <v>862</v>
      </c>
      <c r="D32" s="854">
        <v>590</v>
      </c>
      <c r="E32" s="854">
        <v>68.5</v>
      </c>
      <c r="F32" s="854">
        <v>272</v>
      </c>
      <c r="G32" s="854">
        <v>44</v>
      </c>
      <c r="H32" s="854">
        <v>0</v>
      </c>
      <c r="I32" s="854">
        <v>0</v>
      </c>
      <c r="J32" s="854">
        <v>0</v>
      </c>
      <c r="K32" s="854">
        <v>0</v>
      </c>
      <c r="L32" s="854">
        <v>24</v>
      </c>
      <c r="M32" s="854">
        <v>20</v>
      </c>
      <c r="N32" s="854">
        <v>0</v>
      </c>
      <c r="O32" s="854">
        <v>44</v>
      </c>
      <c r="P32" s="857">
        <v>44</v>
      </c>
      <c r="Q32" s="854">
        <v>0</v>
      </c>
      <c r="R32" s="652">
        <v>0</v>
      </c>
    </row>
    <row r="33" spans="1:18" s="101" customFormat="1" ht="16.5" customHeight="1">
      <c r="A33" s="652">
        <v>2</v>
      </c>
      <c r="B33" s="849" t="s">
        <v>1784</v>
      </c>
      <c r="C33" s="854">
        <v>938</v>
      </c>
      <c r="D33" s="854">
        <v>708</v>
      </c>
      <c r="E33" s="854">
        <v>75.5</v>
      </c>
      <c r="F33" s="854">
        <v>230</v>
      </c>
      <c r="G33" s="854">
        <v>200</v>
      </c>
      <c r="H33" s="854">
        <v>0</v>
      </c>
      <c r="I33" s="854">
        <v>180</v>
      </c>
      <c r="J33" s="854">
        <v>0</v>
      </c>
      <c r="K33" s="854">
        <v>0</v>
      </c>
      <c r="L33" s="854">
        <v>0</v>
      </c>
      <c r="M33" s="854">
        <v>20</v>
      </c>
      <c r="N33" s="854">
        <v>0</v>
      </c>
      <c r="O33" s="854">
        <v>200</v>
      </c>
      <c r="P33" s="857">
        <v>200</v>
      </c>
      <c r="Q33" s="854">
        <v>0</v>
      </c>
      <c r="R33" s="652">
        <v>0</v>
      </c>
    </row>
    <row r="34" spans="1:18" s="101" customFormat="1" ht="16.5" customHeight="1">
      <c r="A34" s="652">
        <v>3</v>
      </c>
      <c r="B34" s="849" t="s">
        <v>1783</v>
      </c>
      <c r="C34" s="854">
        <v>967</v>
      </c>
      <c r="D34" s="854">
        <v>708</v>
      </c>
      <c r="E34" s="854">
        <v>85.1</v>
      </c>
      <c r="F34" s="854">
        <v>259</v>
      </c>
      <c r="G34" s="854">
        <v>65</v>
      </c>
      <c r="H34" s="854">
        <v>0</v>
      </c>
      <c r="I34" s="854">
        <v>45</v>
      </c>
      <c r="J34" s="854">
        <v>0</v>
      </c>
      <c r="K34" s="854">
        <v>0</v>
      </c>
      <c r="L34" s="854">
        <v>0</v>
      </c>
      <c r="M34" s="854">
        <v>20</v>
      </c>
      <c r="N34" s="854">
        <v>0</v>
      </c>
      <c r="O34" s="854">
        <v>65</v>
      </c>
      <c r="P34" s="857">
        <v>65</v>
      </c>
      <c r="Q34" s="854">
        <v>0</v>
      </c>
      <c r="R34" s="652">
        <v>0</v>
      </c>
    </row>
    <row r="35" spans="1:18" s="101" customFormat="1" ht="16.5" customHeight="1">
      <c r="A35" s="652">
        <v>4</v>
      </c>
      <c r="B35" s="849" t="s">
        <v>1782</v>
      </c>
      <c r="C35" s="854">
        <v>661</v>
      </c>
      <c r="D35" s="854">
        <v>532</v>
      </c>
      <c r="E35" s="854">
        <v>80.5</v>
      </c>
      <c r="F35" s="854">
        <v>129</v>
      </c>
      <c r="G35" s="854">
        <v>61</v>
      </c>
      <c r="H35" s="854">
        <v>0</v>
      </c>
      <c r="I35" s="854">
        <v>34</v>
      </c>
      <c r="J35" s="854">
        <v>0</v>
      </c>
      <c r="K35" s="854">
        <v>0</v>
      </c>
      <c r="L35" s="854">
        <v>0</v>
      </c>
      <c r="M35" s="854">
        <v>27</v>
      </c>
      <c r="N35" s="854">
        <v>0</v>
      </c>
      <c r="O35" s="854">
        <v>61</v>
      </c>
      <c r="P35" s="857">
        <v>61</v>
      </c>
      <c r="Q35" s="854">
        <v>0</v>
      </c>
      <c r="R35" s="652">
        <v>0</v>
      </c>
    </row>
    <row r="36" spans="1:18" ht="16.5" customHeight="1">
      <c r="A36" s="652">
        <v>5</v>
      </c>
      <c r="B36" s="849" t="s">
        <v>1778</v>
      </c>
      <c r="C36" s="854">
        <v>729</v>
      </c>
      <c r="D36" s="854">
        <v>466</v>
      </c>
      <c r="E36" s="854">
        <v>64</v>
      </c>
      <c r="F36" s="854">
        <v>263</v>
      </c>
      <c r="G36" s="854">
        <v>193</v>
      </c>
      <c r="H36" s="854">
        <v>0</v>
      </c>
      <c r="I36" s="854">
        <v>0</v>
      </c>
      <c r="J36" s="854">
        <v>75</v>
      </c>
      <c r="K36" s="854">
        <v>68</v>
      </c>
      <c r="L36" s="854">
        <v>20</v>
      </c>
      <c r="M36" s="854">
        <v>85</v>
      </c>
      <c r="N36" s="854">
        <v>0</v>
      </c>
      <c r="O36" s="854">
        <v>248</v>
      </c>
      <c r="P36" s="857">
        <v>248</v>
      </c>
      <c r="Q36" s="854">
        <v>0</v>
      </c>
      <c r="R36" s="652">
        <v>0</v>
      </c>
    </row>
    <row r="37" spans="1:18" ht="16.5" customHeight="1">
      <c r="A37" s="652">
        <v>6</v>
      </c>
      <c r="B37" s="852" t="s">
        <v>1786</v>
      </c>
      <c r="C37" s="854">
        <v>1035</v>
      </c>
      <c r="D37" s="854">
        <v>662</v>
      </c>
      <c r="E37" s="854">
        <v>64</v>
      </c>
      <c r="F37" s="854">
        <v>373</v>
      </c>
      <c r="G37" s="854">
        <v>217</v>
      </c>
      <c r="H37" s="854">
        <v>0</v>
      </c>
      <c r="I37" s="854">
        <v>88</v>
      </c>
      <c r="J37" s="854">
        <v>0</v>
      </c>
      <c r="K37" s="854">
        <v>79</v>
      </c>
      <c r="L37" s="854">
        <v>20</v>
      </c>
      <c r="M37" s="854">
        <v>96</v>
      </c>
      <c r="N37" s="854">
        <v>0</v>
      </c>
      <c r="O37" s="854">
        <v>283</v>
      </c>
      <c r="P37" s="857">
        <v>283</v>
      </c>
      <c r="Q37" s="854">
        <v>0</v>
      </c>
      <c r="R37" s="652">
        <v>0</v>
      </c>
    </row>
    <row r="38" spans="1:18" ht="16.5" customHeight="1">
      <c r="A38" s="652">
        <v>7</v>
      </c>
      <c r="B38" s="851" t="s">
        <v>1829</v>
      </c>
      <c r="C38" s="860">
        <v>854</v>
      </c>
      <c r="D38" s="854">
        <v>621</v>
      </c>
      <c r="E38" s="860">
        <v>72.8</v>
      </c>
      <c r="F38" s="854">
        <v>233</v>
      </c>
      <c r="G38" s="854">
        <v>182</v>
      </c>
      <c r="H38" s="854">
        <v>0</v>
      </c>
      <c r="I38" s="854">
        <v>0</v>
      </c>
      <c r="J38" s="854">
        <v>0</v>
      </c>
      <c r="K38" s="854">
        <v>0</v>
      </c>
      <c r="L38" s="854">
        <v>152</v>
      </c>
      <c r="M38" s="854">
        <v>40</v>
      </c>
      <c r="N38" s="854">
        <v>0</v>
      </c>
      <c r="O38" s="854">
        <v>192</v>
      </c>
      <c r="P38" s="857">
        <v>192</v>
      </c>
      <c r="Q38" s="854">
        <v>0</v>
      </c>
      <c r="R38" s="652">
        <v>0</v>
      </c>
    </row>
    <row r="39" spans="1:18" ht="16.5" customHeight="1">
      <c r="A39" s="652">
        <v>8</v>
      </c>
      <c r="B39" s="851" t="s">
        <v>1830</v>
      </c>
      <c r="C39" s="860">
        <v>603</v>
      </c>
      <c r="D39" s="854">
        <v>364</v>
      </c>
      <c r="E39" s="860">
        <v>60.5</v>
      </c>
      <c r="F39" s="854">
        <v>239</v>
      </c>
      <c r="G39" s="854">
        <v>75</v>
      </c>
      <c r="H39" s="854">
        <v>0</v>
      </c>
      <c r="I39" s="854">
        <v>0</v>
      </c>
      <c r="J39" s="854">
        <v>0</v>
      </c>
      <c r="K39" s="854">
        <v>0</v>
      </c>
      <c r="L39" s="854">
        <v>75</v>
      </c>
      <c r="M39" s="854">
        <v>0</v>
      </c>
      <c r="N39" s="854">
        <v>0</v>
      </c>
      <c r="O39" s="854">
        <v>75</v>
      </c>
      <c r="P39" s="857">
        <v>75</v>
      </c>
      <c r="Q39" s="854">
        <v>0</v>
      </c>
      <c r="R39" s="652">
        <v>0</v>
      </c>
    </row>
    <row r="40" spans="1:18" ht="16.5" customHeight="1">
      <c r="A40" s="652">
        <v>9</v>
      </c>
      <c r="B40" s="851" t="s">
        <v>1777</v>
      </c>
      <c r="C40" s="860">
        <v>776</v>
      </c>
      <c r="D40" s="854">
        <v>465</v>
      </c>
      <c r="E40" s="860" t="s">
        <v>1822</v>
      </c>
      <c r="F40" s="854">
        <v>311</v>
      </c>
      <c r="G40" s="854">
        <v>15</v>
      </c>
      <c r="H40" s="854">
        <v>0</v>
      </c>
      <c r="I40" s="854">
        <v>0</v>
      </c>
      <c r="J40" s="854">
        <v>0</v>
      </c>
      <c r="K40" s="854">
        <v>0</v>
      </c>
      <c r="L40" s="854">
        <v>15</v>
      </c>
      <c r="M40" s="854">
        <v>0</v>
      </c>
      <c r="N40" s="854">
        <v>0</v>
      </c>
      <c r="O40" s="854">
        <v>15</v>
      </c>
      <c r="P40" s="857">
        <v>15</v>
      </c>
      <c r="Q40" s="854">
        <v>0</v>
      </c>
      <c r="R40" s="652">
        <v>0</v>
      </c>
    </row>
    <row r="41" spans="1:18" ht="16.5" customHeight="1">
      <c r="A41" s="846" t="s">
        <v>498</v>
      </c>
      <c r="B41" s="847" t="s">
        <v>1791</v>
      </c>
      <c r="C41" s="854"/>
      <c r="D41" s="854"/>
      <c r="E41" s="854"/>
      <c r="F41" s="854"/>
      <c r="G41" s="854"/>
      <c r="H41" s="854"/>
      <c r="I41" s="854"/>
      <c r="J41" s="854"/>
      <c r="K41" s="854"/>
      <c r="L41" s="854"/>
      <c r="M41" s="854"/>
      <c r="N41" s="854"/>
      <c r="O41" s="854"/>
      <c r="P41" s="857"/>
      <c r="Q41" s="854"/>
      <c r="R41" s="652"/>
    </row>
    <row r="42" spans="1:18" ht="16.5" customHeight="1">
      <c r="A42" s="862">
        <v>1</v>
      </c>
      <c r="B42" s="863" t="s">
        <v>1831</v>
      </c>
      <c r="C42" s="864">
        <v>1035</v>
      </c>
      <c r="D42" s="864">
        <v>745</v>
      </c>
      <c r="E42" s="864">
        <v>72</v>
      </c>
      <c r="F42" s="864">
        <v>290</v>
      </c>
      <c r="G42" s="864">
        <v>80</v>
      </c>
      <c r="H42" s="864">
        <v>0</v>
      </c>
      <c r="I42" s="864">
        <v>0</v>
      </c>
      <c r="J42" s="864">
        <v>0</v>
      </c>
      <c r="K42" s="864">
        <v>0</v>
      </c>
      <c r="L42" s="864">
        <v>80</v>
      </c>
      <c r="M42" s="864">
        <v>35</v>
      </c>
      <c r="N42" s="864">
        <v>0</v>
      </c>
      <c r="O42" s="864">
        <v>115</v>
      </c>
      <c r="P42" s="864">
        <v>115</v>
      </c>
      <c r="Q42" s="864">
        <v>0</v>
      </c>
      <c r="R42" s="862">
        <v>0</v>
      </c>
    </row>
    <row r="43" spans="1:18" ht="16.5" customHeight="1">
      <c r="A43" s="862">
        <v>2</v>
      </c>
      <c r="B43" s="863" t="s">
        <v>1832</v>
      </c>
      <c r="C43" s="864">
        <v>423</v>
      </c>
      <c r="D43" s="864">
        <v>342</v>
      </c>
      <c r="E43" s="864">
        <v>81</v>
      </c>
      <c r="F43" s="864">
        <v>81</v>
      </c>
      <c r="G43" s="864">
        <v>10</v>
      </c>
      <c r="H43" s="864">
        <v>0</v>
      </c>
      <c r="I43" s="864">
        <v>0</v>
      </c>
      <c r="J43" s="864">
        <v>0</v>
      </c>
      <c r="K43" s="864">
        <v>0</v>
      </c>
      <c r="L43" s="864">
        <v>10</v>
      </c>
      <c r="M43" s="864">
        <v>45</v>
      </c>
      <c r="N43" s="864">
        <v>0</v>
      </c>
      <c r="O43" s="864">
        <v>55</v>
      </c>
      <c r="P43" s="864">
        <v>55</v>
      </c>
      <c r="Q43" s="864">
        <v>0</v>
      </c>
      <c r="R43" s="862">
        <v>0</v>
      </c>
    </row>
    <row r="44" spans="1:18" ht="16.5" customHeight="1">
      <c r="A44" s="862">
        <v>3</v>
      </c>
      <c r="B44" s="865" t="s">
        <v>1833</v>
      </c>
      <c r="C44" s="866">
        <v>729</v>
      </c>
      <c r="D44" s="864">
        <v>427</v>
      </c>
      <c r="E44" s="866" t="s">
        <v>1834</v>
      </c>
      <c r="F44" s="864">
        <v>302</v>
      </c>
      <c r="G44" s="864">
        <v>42</v>
      </c>
      <c r="H44" s="864">
        <v>0</v>
      </c>
      <c r="I44" s="864">
        <v>0</v>
      </c>
      <c r="J44" s="864">
        <v>0</v>
      </c>
      <c r="K44" s="864">
        <v>0</v>
      </c>
      <c r="L44" s="864">
        <v>42</v>
      </c>
      <c r="M44" s="864">
        <v>0</v>
      </c>
      <c r="N44" s="864">
        <v>0</v>
      </c>
      <c r="O44" s="864">
        <v>42</v>
      </c>
      <c r="P44" s="864">
        <v>42</v>
      </c>
      <c r="Q44" s="864">
        <v>0</v>
      </c>
      <c r="R44" s="862">
        <v>0</v>
      </c>
    </row>
    <row r="45" spans="1:18" ht="16.5" customHeight="1">
      <c r="A45" s="862">
        <v>4</v>
      </c>
      <c r="B45" s="865" t="s">
        <v>1835</v>
      </c>
      <c r="C45" s="866">
        <v>408</v>
      </c>
      <c r="D45" s="864">
        <v>185</v>
      </c>
      <c r="E45" s="866" t="s">
        <v>1836</v>
      </c>
      <c r="F45" s="864">
        <v>223</v>
      </c>
      <c r="G45" s="864">
        <v>53</v>
      </c>
      <c r="H45" s="864">
        <v>0</v>
      </c>
      <c r="I45" s="864">
        <v>0</v>
      </c>
      <c r="J45" s="864">
        <v>0</v>
      </c>
      <c r="K45" s="864">
        <v>0</v>
      </c>
      <c r="L45" s="864">
        <v>53</v>
      </c>
      <c r="M45" s="864">
        <v>0</v>
      </c>
      <c r="N45" s="864">
        <v>0</v>
      </c>
      <c r="O45" s="864">
        <v>53</v>
      </c>
      <c r="P45" s="864">
        <v>53</v>
      </c>
      <c r="Q45" s="864">
        <v>0</v>
      </c>
      <c r="R45" s="862">
        <v>0</v>
      </c>
    </row>
    <row r="46" spans="1:18" ht="16.5" customHeight="1">
      <c r="A46" s="862">
        <v>5</v>
      </c>
      <c r="B46" s="865" t="s">
        <v>1792</v>
      </c>
      <c r="C46" s="866">
        <v>263</v>
      </c>
      <c r="D46" s="864">
        <v>93</v>
      </c>
      <c r="E46" s="866" t="s">
        <v>1837</v>
      </c>
      <c r="F46" s="864">
        <v>170</v>
      </c>
      <c r="G46" s="864">
        <v>75</v>
      </c>
      <c r="H46" s="864">
        <v>0</v>
      </c>
      <c r="I46" s="864">
        <v>0</v>
      </c>
      <c r="J46" s="864">
        <v>0</v>
      </c>
      <c r="K46" s="864">
        <v>0</v>
      </c>
      <c r="L46" s="864">
        <v>25</v>
      </c>
      <c r="M46" s="864">
        <v>0</v>
      </c>
      <c r="N46" s="864">
        <v>50</v>
      </c>
      <c r="O46" s="864">
        <v>75</v>
      </c>
      <c r="P46" s="864">
        <v>75</v>
      </c>
      <c r="Q46" s="864">
        <v>0</v>
      </c>
      <c r="R46" s="862">
        <v>0</v>
      </c>
    </row>
    <row r="47" spans="1:18" ht="16.5" customHeight="1">
      <c r="A47" s="862">
        <v>6</v>
      </c>
      <c r="B47" s="865" t="s">
        <v>1838</v>
      </c>
      <c r="C47" s="866">
        <v>1159</v>
      </c>
      <c r="D47" s="864">
        <v>521</v>
      </c>
      <c r="E47" s="866" t="s">
        <v>1839</v>
      </c>
      <c r="F47" s="864">
        <v>638</v>
      </c>
      <c r="G47" s="864">
        <v>40</v>
      </c>
      <c r="H47" s="864">
        <v>0</v>
      </c>
      <c r="I47" s="864">
        <v>0</v>
      </c>
      <c r="J47" s="864">
        <v>0</v>
      </c>
      <c r="K47" s="864">
        <v>0</v>
      </c>
      <c r="L47" s="864">
        <v>40</v>
      </c>
      <c r="M47" s="864">
        <v>30</v>
      </c>
      <c r="N47" s="864">
        <v>0</v>
      </c>
      <c r="O47" s="864">
        <v>70</v>
      </c>
      <c r="P47" s="864">
        <v>70</v>
      </c>
      <c r="Q47" s="864">
        <v>0</v>
      </c>
      <c r="R47" s="862">
        <v>0</v>
      </c>
    </row>
    <row r="48" spans="1:18" ht="16.5" customHeight="1">
      <c r="A48" s="846" t="s">
        <v>903</v>
      </c>
      <c r="B48" s="847" t="s">
        <v>1840</v>
      </c>
      <c r="C48" s="854"/>
      <c r="D48" s="854"/>
      <c r="E48" s="854"/>
      <c r="F48" s="854"/>
      <c r="G48" s="854" t="s">
        <v>894</v>
      </c>
      <c r="H48" s="854"/>
      <c r="I48" s="854"/>
      <c r="J48" s="854"/>
      <c r="K48" s="854"/>
      <c r="L48" s="854"/>
      <c r="M48" s="854"/>
      <c r="N48" s="854"/>
      <c r="O48" s="854"/>
      <c r="P48" s="857"/>
      <c r="Q48" s="854"/>
      <c r="R48" s="652"/>
    </row>
    <row r="49" spans="1:18" ht="16.5" customHeight="1">
      <c r="A49" s="652">
        <v>1</v>
      </c>
      <c r="B49" s="849" t="s">
        <v>1721</v>
      </c>
      <c r="C49" s="854">
        <v>673</v>
      </c>
      <c r="D49" s="854">
        <v>471</v>
      </c>
      <c r="E49" s="854">
        <v>70</v>
      </c>
      <c r="F49" s="854">
        <v>202</v>
      </c>
      <c r="G49" s="854">
        <v>100</v>
      </c>
      <c r="H49" s="854">
        <v>0</v>
      </c>
      <c r="I49" s="854">
        <v>0</v>
      </c>
      <c r="J49" s="854">
        <v>0</v>
      </c>
      <c r="K49" s="854">
        <v>20</v>
      </c>
      <c r="L49" s="854">
        <v>60</v>
      </c>
      <c r="M49" s="854">
        <v>65</v>
      </c>
      <c r="N49" s="854">
        <v>0</v>
      </c>
      <c r="O49" s="854">
        <v>145</v>
      </c>
      <c r="P49" s="857">
        <v>145</v>
      </c>
      <c r="Q49" s="854">
        <v>0</v>
      </c>
      <c r="R49" s="652">
        <v>0</v>
      </c>
    </row>
    <row r="50" spans="1:18" ht="16.5" customHeight="1">
      <c r="A50" s="652">
        <v>2</v>
      </c>
      <c r="B50" s="849" t="s">
        <v>1841</v>
      </c>
      <c r="C50" s="854">
        <v>544</v>
      </c>
      <c r="D50" s="854">
        <v>379</v>
      </c>
      <c r="E50" s="854">
        <v>73</v>
      </c>
      <c r="F50" s="854">
        <v>165</v>
      </c>
      <c r="G50" s="854">
        <v>90</v>
      </c>
      <c r="H50" s="854">
        <v>0</v>
      </c>
      <c r="I50" s="854">
        <v>0</v>
      </c>
      <c r="J50" s="854">
        <v>40</v>
      </c>
      <c r="K50" s="854">
        <v>0</v>
      </c>
      <c r="L50" s="854">
        <v>30</v>
      </c>
      <c r="M50" s="854">
        <v>30</v>
      </c>
      <c r="N50" s="854">
        <v>0</v>
      </c>
      <c r="O50" s="854">
        <v>100</v>
      </c>
      <c r="P50" s="857">
        <v>100</v>
      </c>
      <c r="Q50" s="854">
        <v>0</v>
      </c>
      <c r="R50" s="652">
        <v>0</v>
      </c>
    </row>
    <row r="51" spans="1:18" ht="16.5" customHeight="1">
      <c r="A51" s="652">
        <v>3</v>
      </c>
      <c r="B51" s="849" t="s">
        <v>1883</v>
      </c>
      <c r="C51" s="854">
        <v>372</v>
      </c>
      <c r="D51" s="854">
        <v>290</v>
      </c>
      <c r="E51" s="854">
        <v>78</v>
      </c>
      <c r="F51" s="854">
        <v>82</v>
      </c>
      <c r="G51" s="854">
        <v>60</v>
      </c>
      <c r="H51" s="854">
        <v>0</v>
      </c>
      <c r="I51" s="854">
        <v>0</v>
      </c>
      <c r="J51" s="854">
        <v>40</v>
      </c>
      <c r="K51" s="854">
        <v>0</v>
      </c>
      <c r="L51" s="854">
        <v>0</v>
      </c>
      <c r="M51" s="854">
        <v>20</v>
      </c>
      <c r="N51" s="854">
        <v>0</v>
      </c>
      <c r="O51" s="854">
        <v>60</v>
      </c>
      <c r="P51" s="857">
        <v>60</v>
      </c>
      <c r="Q51" s="854">
        <v>0</v>
      </c>
      <c r="R51" s="652">
        <v>0</v>
      </c>
    </row>
    <row r="52" spans="1:18" ht="16.5" customHeight="1">
      <c r="A52" s="652">
        <v>4</v>
      </c>
      <c r="B52" s="849" t="s">
        <v>1842</v>
      </c>
      <c r="C52" s="854">
        <v>621</v>
      </c>
      <c r="D52" s="854">
        <v>434</v>
      </c>
      <c r="E52" s="854">
        <v>70</v>
      </c>
      <c r="F52" s="854">
        <v>187</v>
      </c>
      <c r="G52" s="854">
        <v>35</v>
      </c>
      <c r="H52" s="854">
        <v>0</v>
      </c>
      <c r="I52" s="854">
        <v>0</v>
      </c>
      <c r="J52" s="854">
        <v>0</v>
      </c>
      <c r="K52" s="854">
        <v>0</v>
      </c>
      <c r="L52" s="854">
        <v>15</v>
      </c>
      <c r="M52" s="854">
        <v>20</v>
      </c>
      <c r="N52" s="854">
        <v>0</v>
      </c>
      <c r="O52" s="854">
        <v>35</v>
      </c>
      <c r="P52" s="857">
        <v>35</v>
      </c>
      <c r="Q52" s="854">
        <v>0</v>
      </c>
      <c r="R52" s="652">
        <v>0</v>
      </c>
    </row>
    <row r="53" spans="1:18" ht="16.5" customHeight="1">
      <c r="A53" s="652">
        <v>5</v>
      </c>
      <c r="B53" s="849" t="s">
        <v>1843</v>
      </c>
      <c r="C53" s="854">
        <v>389</v>
      </c>
      <c r="D53" s="854">
        <v>283</v>
      </c>
      <c r="E53" s="854">
        <v>73</v>
      </c>
      <c r="F53" s="854">
        <v>106</v>
      </c>
      <c r="G53" s="854">
        <v>75</v>
      </c>
      <c r="H53" s="854">
        <v>0</v>
      </c>
      <c r="I53" s="854">
        <v>0</v>
      </c>
      <c r="J53" s="854">
        <v>0</v>
      </c>
      <c r="K53" s="854">
        <v>20</v>
      </c>
      <c r="L53" s="854">
        <v>35</v>
      </c>
      <c r="M53" s="854">
        <v>20</v>
      </c>
      <c r="N53" s="854">
        <v>0</v>
      </c>
      <c r="O53" s="854">
        <v>75</v>
      </c>
      <c r="P53" s="857">
        <v>75</v>
      </c>
      <c r="Q53" s="854">
        <v>0</v>
      </c>
      <c r="R53" s="652">
        <v>0</v>
      </c>
    </row>
    <row r="54" spans="1:18" ht="16.5" customHeight="1">
      <c r="A54" s="652">
        <v>6</v>
      </c>
      <c r="B54" s="851" t="s">
        <v>1844</v>
      </c>
      <c r="C54" s="860">
        <v>456</v>
      </c>
      <c r="D54" s="854">
        <v>248</v>
      </c>
      <c r="E54" s="860" t="s">
        <v>1845</v>
      </c>
      <c r="F54" s="854">
        <v>208</v>
      </c>
      <c r="G54" s="854">
        <v>27</v>
      </c>
      <c r="H54" s="854">
        <v>0</v>
      </c>
      <c r="I54" s="854">
        <v>0</v>
      </c>
      <c r="J54" s="854">
        <v>0</v>
      </c>
      <c r="K54" s="854">
        <v>0</v>
      </c>
      <c r="L54" s="854">
        <v>27</v>
      </c>
      <c r="M54" s="854">
        <v>0</v>
      </c>
      <c r="N54" s="854">
        <v>0</v>
      </c>
      <c r="O54" s="854">
        <v>27</v>
      </c>
      <c r="P54" s="857">
        <v>27</v>
      </c>
      <c r="Q54" s="854">
        <v>0</v>
      </c>
      <c r="R54" s="652">
        <v>0</v>
      </c>
    </row>
    <row r="55" spans="1:18" ht="16.5" customHeight="1">
      <c r="A55" s="652">
        <v>7</v>
      </c>
      <c r="B55" s="851" t="s">
        <v>1846</v>
      </c>
      <c r="C55" s="860">
        <v>293</v>
      </c>
      <c r="D55" s="854">
        <v>182</v>
      </c>
      <c r="E55" s="860" t="s">
        <v>1847</v>
      </c>
      <c r="F55" s="854">
        <v>111</v>
      </c>
      <c r="G55" s="854">
        <v>31</v>
      </c>
      <c r="H55" s="854">
        <v>0</v>
      </c>
      <c r="I55" s="854">
        <v>0</v>
      </c>
      <c r="J55" s="854">
        <v>0</v>
      </c>
      <c r="K55" s="854">
        <v>0</v>
      </c>
      <c r="L55" s="854">
        <v>31</v>
      </c>
      <c r="M55" s="854">
        <v>10</v>
      </c>
      <c r="N55" s="854">
        <v>0</v>
      </c>
      <c r="O55" s="854">
        <v>41</v>
      </c>
      <c r="P55" s="857">
        <v>41</v>
      </c>
      <c r="Q55" s="854">
        <v>0</v>
      </c>
      <c r="R55" s="652">
        <v>0</v>
      </c>
    </row>
    <row r="56" spans="1:18" ht="16.5" customHeight="1">
      <c r="A56" s="652">
        <v>8</v>
      </c>
      <c r="B56" s="851" t="s">
        <v>1848</v>
      </c>
      <c r="C56" s="860">
        <v>1136</v>
      </c>
      <c r="D56" s="854">
        <v>641</v>
      </c>
      <c r="E56" s="860" t="s">
        <v>1849</v>
      </c>
      <c r="F56" s="854">
        <v>495</v>
      </c>
      <c r="G56" s="854">
        <v>12</v>
      </c>
      <c r="H56" s="854">
        <v>0</v>
      </c>
      <c r="I56" s="854">
        <v>0</v>
      </c>
      <c r="J56" s="854">
        <v>0</v>
      </c>
      <c r="K56" s="854">
        <v>0</v>
      </c>
      <c r="L56" s="854">
        <v>12</v>
      </c>
      <c r="M56" s="854">
        <v>0</v>
      </c>
      <c r="N56" s="854">
        <v>0</v>
      </c>
      <c r="O56" s="854">
        <v>12</v>
      </c>
      <c r="P56" s="857">
        <v>12</v>
      </c>
      <c r="Q56" s="854">
        <v>0</v>
      </c>
      <c r="R56" s="652">
        <v>0</v>
      </c>
    </row>
    <row r="57" spans="1:18" ht="16.5" customHeight="1">
      <c r="A57" s="652">
        <v>9</v>
      </c>
      <c r="B57" s="851" t="s">
        <v>1723</v>
      </c>
      <c r="C57" s="860">
        <v>701</v>
      </c>
      <c r="D57" s="854">
        <v>354</v>
      </c>
      <c r="E57" s="860" t="s">
        <v>1850</v>
      </c>
      <c r="F57" s="854">
        <v>347</v>
      </c>
      <c r="G57" s="854">
        <v>20</v>
      </c>
      <c r="H57" s="854">
        <v>0</v>
      </c>
      <c r="I57" s="854">
        <v>0</v>
      </c>
      <c r="J57" s="854">
        <v>0</v>
      </c>
      <c r="K57" s="854">
        <v>0</v>
      </c>
      <c r="L57" s="854">
        <v>20</v>
      </c>
      <c r="M57" s="854">
        <v>0</v>
      </c>
      <c r="N57" s="854">
        <v>0</v>
      </c>
      <c r="O57" s="854">
        <v>20</v>
      </c>
      <c r="P57" s="857">
        <v>20</v>
      </c>
      <c r="Q57" s="854">
        <v>0</v>
      </c>
      <c r="R57" s="652">
        <v>0</v>
      </c>
    </row>
    <row r="58" spans="1:18" ht="16.5" customHeight="1">
      <c r="A58" s="652">
        <v>10</v>
      </c>
      <c r="B58" s="851" t="s">
        <v>1714</v>
      </c>
      <c r="C58" s="860">
        <v>297</v>
      </c>
      <c r="D58" s="854">
        <v>185</v>
      </c>
      <c r="E58" s="860" t="s">
        <v>1851</v>
      </c>
      <c r="F58" s="854">
        <v>112</v>
      </c>
      <c r="G58" s="854">
        <v>15</v>
      </c>
      <c r="H58" s="854">
        <v>0</v>
      </c>
      <c r="I58" s="854">
        <v>0</v>
      </c>
      <c r="J58" s="854">
        <v>0</v>
      </c>
      <c r="K58" s="854">
        <v>0</v>
      </c>
      <c r="L58" s="854">
        <v>15</v>
      </c>
      <c r="M58" s="854">
        <v>30</v>
      </c>
      <c r="N58" s="854">
        <v>0</v>
      </c>
      <c r="O58" s="854">
        <v>45</v>
      </c>
      <c r="P58" s="857">
        <v>45</v>
      </c>
      <c r="Q58" s="854">
        <v>0</v>
      </c>
      <c r="R58" s="652">
        <v>0</v>
      </c>
    </row>
    <row r="59" spans="1:18" ht="16.5" customHeight="1">
      <c r="A59" s="652">
        <v>11</v>
      </c>
      <c r="B59" s="851" t="s">
        <v>1852</v>
      </c>
      <c r="C59" s="860">
        <v>534</v>
      </c>
      <c r="D59" s="854">
        <v>281</v>
      </c>
      <c r="E59" s="860" t="s">
        <v>1853</v>
      </c>
      <c r="F59" s="854">
        <v>253</v>
      </c>
      <c r="G59" s="854">
        <v>15</v>
      </c>
      <c r="H59" s="854">
        <v>0</v>
      </c>
      <c r="I59" s="854">
        <v>0</v>
      </c>
      <c r="J59" s="854">
        <v>0</v>
      </c>
      <c r="K59" s="854">
        <v>0</v>
      </c>
      <c r="L59" s="854">
        <v>15</v>
      </c>
      <c r="M59" s="854">
        <v>0</v>
      </c>
      <c r="N59" s="854"/>
      <c r="O59" s="854">
        <v>15</v>
      </c>
      <c r="P59" s="857">
        <v>15</v>
      </c>
      <c r="Q59" s="854"/>
      <c r="R59" s="652">
        <v>0</v>
      </c>
    </row>
    <row r="60" spans="1:18" ht="16.5" customHeight="1">
      <c r="A60" s="846" t="s">
        <v>353</v>
      </c>
      <c r="B60" s="853" t="s">
        <v>1854</v>
      </c>
      <c r="C60" s="854"/>
      <c r="D60" s="854"/>
      <c r="E60" s="854"/>
      <c r="F60" s="854"/>
      <c r="G60" s="854"/>
      <c r="H60" s="854"/>
      <c r="I60" s="854"/>
      <c r="J60" s="854"/>
      <c r="K60" s="854"/>
      <c r="L60" s="854"/>
      <c r="M60" s="854"/>
      <c r="N60" s="854"/>
      <c r="O60" s="854"/>
      <c r="P60" s="857"/>
      <c r="Q60" s="854"/>
      <c r="R60" s="652"/>
    </row>
    <row r="61" spans="1:18" ht="16.5" customHeight="1">
      <c r="A61" s="652">
        <v>1</v>
      </c>
      <c r="B61" s="849" t="s">
        <v>1758</v>
      </c>
      <c r="C61" s="854">
        <v>781</v>
      </c>
      <c r="D61" s="854">
        <v>585</v>
      </c>
      <c r="E61" s="854">
        <v>75</v>
      </c>
      <c r="F61" s="854">
        <v>196</v>
      </c>
      <c r="G61" s="854">
        <v>125</v>
      </c>
      <c r="H61" s="854"/>
      <c r="I61" s="854">
        <v>0</v>
      </c>
      <c r="J61" s="854">
        <v>30</v>
      </c>
      <c r="K61" s="854">
        <v>15</v>
      </c>
      <c r="L61" s="854">
        <v>60</v>
      </c>
      <c r="M61" s="854">
        <v>20</v>
      </c>
      <c r="N61" s="854">
        <v>0</v>
      </c>
      <c r="O61" s="854">
        <v>125</v>
      </c>
      <c r="P61" s="857">
        <v>125</v>
      </c>
      <c r="Q61" s="854">
        <v>0</v>
      </c>
      <c r="R61" s="652">
        <v>0</v>
      </c>
    </row>
    <row r="62" spans="1:18" ht="16.5" customHeight="1">
      <c r="A62" s="652">
        <v>2</v>
      </c>
      <c r="B62" s="849" t="s">
        <v>1855</v>
      </c>
      <c r="C62" s="854">
        <v>892</v>
      </c>
      <c r="D62" s="854">
        <v>624</v>
      </c>
      <c r="E62" s="854">
        <v>70</v>
      </c>
      <c r="F62" s="854">
        <v>268</v>
      </c>
      <c r="G62" s="854">
        <v>47</v>
      </c>
      <c r="H62" s="854">
        <v>0</v>
      </c>
      <c r="I62" s="854">
        <v>0</v>
      </c>
      <c r="J62" s="854">
        <v>0</v>
      </c>
      <c r="K62" s="854">
        <v>14</v>
      </c>
      <c r="L62" s="854">
        <v>13</v>
      </c>
      <c r="M62" s="854">
        <v>20</v>
      </c>
      <c r="N62" s="854">
        <v>0</v>
      </c>
      <c r="O62" s="854">
        <v>47</v>
      </c>
      <c r="P62" s="857">
        <v>47</v>
      </c>
      <c r="Q62" s="854">
        <v>0</v>
      </c>
      <c r="R62" s="652">
        <v>0</v>
      </c>
    </row>
    <row r="63" spans="1:18" ht="16.5" customHeight="1">
      <c r="A63" s="652">
        <v>3</v>
      </c>
      <c r="B63" s="849" t="s">
        <v>1856</v>
      </c>
      <c r="C63" s="854">
        <v>569</v>
      </c>
      <c r="D63" s="854">
        <v>384</v>
      </c>
      <c r="E63" s="854">
        <v>67.5</v>
      </c>
      <c r="F63" s="854">
        <v>185</v>
      </c>
      <c r="G63" s="854">
        <v>119</v>
      </c>
      <c r="H63" s="854">
        <v>0</v>
      </c>
      <c r="I63" s="854">
        <v>0</v>
      </c>
      <c r="J63" s="854">
        <v>0</v>
      </c>
      <c r="K63" s="854">
        <v>0</v>
      </c>
      <c r="L63" s="854">
        <v>49</v>
      </c>
      <c r="M63" s="854">
        <v>20</v>
      </c>
      <c r="N63" s="854">
        <v>50</v>
      </c>
      <c r="O63" s="854">
        <v>119</v>
      </c>
      <c r="P63" s="857">
        <v>119</v>
      </c>
      <c r="Q63" s="854">
        <v>0</v>
      </c>
      <c r="R63" s="652">
        <v>0</v>
      </c>
    </row>
    <row r="64" spans="1:18" ht="16.5" customHeight="1">
      <c r="A64" s="652">
        <v>4</v>
      </c>
      <c r="B64" s="851" t="s">
        <v>1857</v>
      </c>
      <c r="C64" s="860">
        <v>747</v>
      </c>
      <c r="D64" s="854">
        <v>315</v>
      </c>
      <c r="E64" s="860" t="s">
        <v>1858</v>
      </c>
      <c r="F64" s="854">
        <v>432</v>
      </c>
      <c r="G64" s="854">
        <v>102</v>
      </c>
      <c r="H64" s="854">
        <v>0</v>
      </c>
      <c r="I64" s="854">
        <v>0</v>
      </c>
      <c r="J64" s="854">
        <v>0</v>
      </c>
      <c r="K64" s="854">
        <v>0</v>
      </c>
      <c r="L64" s="854">
        <v>102</v>
      </c>
      <c r="M64" s="854">
        <v>0</v>
      </c>
      <c r="N64" s="854">
        <v>0</v>
      </c>
      <c r="O64" s="854">
        <v>102</v>
      </c>
      <c r="P64" s="857">
        <v>102</v>
      </c>
      <c r="Q64" s="854">
        <v>0</v>
      </c>
      <c r="R64" s="652">
        <v>0</v>
      </c>
    </row>
    <row r="65" spans="1:18" ht="16.5" customHeight="1">
      <c r="A65" s="652">
        <v>5</v>
      </c>
      <c r="B65" s="851" t="s">
        <v>1755</v>
      </c>
      <c r="C65" s="860">
        <v>581</v>
      </c>
      <c r="D65" s="854">
        <v>293</v>
      </c>
      <c r="E65" s="860" t="s">
        <v>1850</v>
      </c>
      <c r="F65" s="854">
        <v>288</v>
      </c>
      <c r="G65" s="854">
        <v>13</v>
      </c>
      <c r="H65" s="854">
        <v>0</v>
      </c>
      <c r="I65" s="854">
        <v>0</v>
      </c>
      <c r="J65" s="854">
        <v>0</v>
      </c>
      <c r="K65" s="854">
        <v>0</v>
      </c>
      <c r="L65" s="854">
        <v>13</v>
      </c>
      <c r="M65" s="854">
        <v>0</v>
      </c>
      <c r="N65" s="854">
        <v>0</v>
      </c>
      <c r="O65" s="854">
        <v>13</v>
      </c>
      <c r="P65" s="857">
        <v>13</v>
      </c>
      <c r="Q65" s="854">
        <v>0</v>
      </c>
      <c r="R65" s="652">
        <v>0</v>
      </c>
    </row>
    <row r="66" spans="1:18" ht="16.5" customHeight="1">
      <c r="A66" s="652">
        <v>6</v>
      </c>
      <c r="B66" s="851" t="s">
        <v>86</v>
      </c>
      <c r="C66" s="860">
        <v>326</v>
      </c>
      <c r="D66" s="854">
        <v>198</v>
      </c>
      <c r="E66" s="860" t="s">
        <v>1859</v>
      </c>
      <c r="F66" s="854">
        <v>128</v>
      </c>
      <c r="G66" s="854">
        <v>59</v>
      </c>
      <c r="H66" s="854">
        <v>0</v>
      </c>
      <c r="I66" s="854">
        <v>0</v>
      </c>
      <c r="J66" s="854">
        <v>0</v>
      </c>
      <c r="K66" s="854">
        <v>0</v>
      </c>
      <c r="L66" s="854">
        <v>59</v>
      </c>
      <c r="M66" s="854">
        <v>0</v>
      </c>
      <c r="N66" s="854">
        <v>0</v>
      </c>
      <c r="O66" s="854">
        <v>59</v>
      </c>
      <c r="P66" s="857">
        <v>59</v>
      </c>
      <c r="Q66" s="854">
        <v>0</v>
      </c>
      <c r="R66" s="652">
        <v>0</v>
      </c>
    </row>
    <row r="67" spans="1:18" ht="16.5" customHeight="1">
      <c r="A67" s="652">
        <v>7</v>
      </c>
      <c r="B67" s="851" t="s">
        <v>1760</v>
      </c>
      <c r="C67" s="860">
        <v>582</v>
      </c>
      <c r="D67" s="854">
        <v>398</v>
      </c>
      <c r="E67" s="860" t="s">
        <v>1860</v>
      </c>
      <c r="F67" s="854">
        <v>184</v>
      </c>
      <c r="G67" s="854">
        <v>13</v>
      </c>
      <c r="H67" s="854">
        <v>0</v>
      </c>
      <c r="I67" s="854">
        <v>0</v>
      </c>
      <c r="J67" s="854">
        <v>0</v>
      </c>
      <c r="K67" s="854">
        <v>0</v>
      </c>
      <c r="L67" s="854">
        <v>13</v>
      </c>
      <c r="M67" s="854">
        <v>10</v>
      </c>
      <c r="N67" s="854">
        <v>0</v>
      </c>
      <c r="O67" s="854">
        <v>23</v>
      </c>
      <c r="P67" s="857">
        <v>23</v>
      </c>
      <c r="Q67" s="854">
        <v>0</v>
      </c>
      <c r="R67" s="652">
        <v>0</v>
      </c>
    </row>
    <row r="68" spans="1:18" ht="16.5" customHeight="1">
      <c r="A68" s="652">
        <v>8</v>
      </c>
      <c r="B68" s="851" t="s">
        <v>1861</v>
      </c>
      <c r="C68" s="860">
        <v>466</v>
      </c>
      <c r="D68" s="854">
        <v>319</v>
      </c>
      <c r="E68" s="860" t="s">
        <v>1862</v>
      </c>
      <c r="F68" s="854">
        <v>147</v>
      </c>
      <c r="G68" s="854">
        <v>3</v>
      </c>
      <c r="H68" s="854">
        <v>0</v>
      </c>
      <c r="I68" s="854">
        <v>0</v>
      </c>
      <c r="J68" s="854">
        <v>0</v>
      </c>
      <c r="K68" s="854">
        <v>0</v>
      </c>
      <c r="L68" s="854">
        <v>3</v>
      </c>
      <c r="M68" s="854">
        <v>0</v>
      </c>
      <c r="N68" s="854">
        <v>0</v>
      </c>
      <c r="O68" s="854">
        <v>3</v>
      </c>
      <c r="P68" s="857">
        <v>3</v>
      </c>
      <c r="Q68" s="854">
        <v>0</v>
      </c>
      <c r="R68" s="652">
        <v>0</v>
      </c>
    </row>
    <row r="69" spans="1:18" ht="16.5" customHeight="1">
      <c r="A69" s="652">
        <v>9</v>
      </c>
      <c r="B69" s="851" t="s">
        <v>1766</v>
      </c>
      <c r="C69" s="860">
        <v>452</v>
      </c>
      <c r="D69" s="854">
        <v>283</v>
      </c>
      <c r="E69" s="860" t="s">
        <v>1863</v>
      </c>
      <c r="F69" s="854">
        <v>169</v>
      </c>
      <c r="G69" s="854">
        <v>16</v>
      </c>
      <c r="H69" s="854">
        <v>0</v>
      </c>
      <c r="I69" s="854">
        <v>0</v>
      </c>
      <c r="J69" s="854">
        <v>0</v>
      </c>
      <c r="K69" s="854">
        <v>0</v>
      </c>
      <c r="L69" s="854">
        <v>16</v>
      </c>
      <c r="M69" s="854">
        <v>0</v>
      </c>
      <c r="N69" s="854">
        <v>0</v>
      </c>
      <c r="O69" s="854">
        <v>16</v>
      </c>
      <c r="P69" s="857">
        <v>16</v>
      </c>
      <c r="Q69" s="854">
        <v>0</v>
      </c>
      <c r="R69" s="652">
        <v>0</v>
      </c>
    </row>
    <row r="70" spans="1:18" ht="16.5" customHeight="1">
      <c r="A70" s="652">
        <v>10</v>
      </c>
      <c r="B70" s="851" t="s">
        <v>1864</v>
      </c>
      <c r="C70" s="860">
        <v>366</v>
      </c>
      <c r="D70" s="854">
        <v>214</v>
      </c>
      <c r="E70" s="860" t="s">
        <v>1834</v>
      </c>
      <c r="F70" s="854">
        <v>152</v>
      </c>
      <c r="G70" s="854">
        <v>3</v>
      </c>
      <c r="H70" s="854">
        <v>0</v>
      </c>
      <c r="I70" s="854">
        <v>0</v>
      </c>
      <c r="J70" s="854">
        <v>0</v>
      </c>
      <c r="K70" s="854">
        <v>0</v>
      </c>
      <c r="L70" s="854">
        <v>3</v>
      </c>
      <c r="M70" s="854">
        <v>0</v>
      </c>
      <c r="N70" s="854">
        <v>0</v>
      </c>
      <c r="O70" s="854">
        <v>3</v>
      </c>
      <c r="P70" s="857">
        <v>3</v>
      </c>
      <c r="Q70" s="854">
        <v>0</v>
      </c>
      <c r="R70" s="652">
        <v>0</v>
      </c>
    </row>
    <row r="71" spans="1:18" ht="16.5" customHeight="1">
      <c r="A71" s="652">
        <v>11</v>
      </c>
      <c r="B71" s="851" t="s">
        <v>1757</v>
      </c>
      <c r="C71" s="860">
        <v>520</v>
      </c>
      <c r="D71" s="854">
        <v>211</v>
      </c>
      <c r="E71" s="860" t="s">
        <v>1865</v>
      </c>
      <c r="F71" s="854">
        <v>309</v>
      </c>
      <c r="G71" s="854">
        <v>23</v>
      </c>
      <c r="H71" s="854">
        <v>0</v>
      </c>
      <c r="I71" s="854">
        <v>0</v>
      </c>
      <c r="J71" s="854">
        <v>0</v>
      </c>
      <c r="K71" s="854">
        <v>0</v>
      </c>
      <c r="L71" s="854">
        <v>23</v>
      </c>
      <c r="M71" s="854">
        <v>0</v>
      </c>
      <c r="N71" s="854">
        <v>0</v>
      </c>
      <c r="O71" s="854">
        <v>23</v>
      </c>
      <c r="P71" s="857">
        <v>23</v>
      </c>
      <c r="Q71" s="854">
        <v>0</v>
      </c>
      <c r="R71" s="652">
        <v>0</v>
      </c>
    </row>
    <row r="72" spans="1:18" ht="16.5" customHeight="1">
      <c r="A72" s="652">
        <v>12</v>
      </c>
      <c r="B72" s="851" t="s">
        <v>1754</v>
      </c>
      <c r="C72" s="860">
        <v>514</v>
      </c>
      <c r="D72" s="854">
        <v>308</v>
      </c>
      <c r="E72" s="860" t="s">
        <v>1822</v>
      </c>
      <c r="F72" s="854">
        <v>206</v>
      </c>
      <c r="G72" s="854">
        <v>23</v>
      </c>
      <c r="H72" s="854">
        <v>0</v>
      </c>
      <c r="I72" s="854">
        <v>0</v>
      </c>
      <c r="J72" s="854">
        <v>0</v>
      </c>
      <c r="K72" s="854">
        <v>0</v>
      </c>
      <c r="L72" s="854">
        <v>23</v>
      </c>
      <c r="M72" s="854">
        <v>0</v>
      </c>
      <c r="N72" s="854">
        <v>0</v>
      </c>
      <c r="O72" s="854">
        <v>23</v>
      </c>
      <c r="P72" s="857">
        <v>23</v>
      </c>
      <c r="Q72" s="854">
        <v>0</v>
      </c>
      <c r="R72" s="652">
        <v>0</v>
      </c>
    </row>
    <row r="73" spans="1:18" ht="16.5" customHeight="1">
      <c r="A73" s="652">
        <v>13</v>
      </c>
      <c r="B73" s="851" t="s">
        <v>1866</v>
      </c>
      <c r="C73" s="860">
        <v>947</v>
      </c>
      <c r="D73" s="854">
        <v>616</v>
      </c>
      <c r="E73" s="860" t="s">
        <v>1867</v>
      </c>
      <c r="F73" s="854">
        <v>331</v>
      </c>
      <c r="G73" s="854">
        <v>10</v>
      </c>
      <c r="H73" s="854">
        <v>0</v>
      </c>
      <c r="I73" s="854">
        <v>0</v>
      </c>
      <c r="J73" s="854">
        <v>0</v>
      </c>
      <c r="K73" s="854">
        <v>0</v>
      </c>
      <c r="L73" s="854">
        <v>10</v>
      </c>
      <c r="M73" s="854">
        <v>0</v>
      </c>
      <c r="N73" s="854">
        <v>0</v>
      </c>
      <c r="O73" s="854">
        <v>10</v>
      </c>
      <c r="P73" s="857">
        <v>10</v>
      </c>
      <c r="Q73" s="854">
        <v>0</v>
      </c>
      <c r="R73" s="652">
        <v>0</v>
      </c>
    </row>
    <row r="74" spans="1:18" ht="16.5" customHeight="1">
      <c r="A74" s="846" t="s">
        <v>369</v>
      </c>
      <c r="B74" s="847" t="s">
        <v>1868</v>
      </c>
      <c r="C74" s="854"/>
      <c r="D74" s="854"/>
      <c r="E74" s="854"/>
      <c r="F74" s="854"/>
      <c r="G74" s="854"/>
      <c r="H74" s="854"/>
      <c r="I74" s="854"/>
      <c r="J74" s="854"/>
      <c r="K74" s="854"/>
      <c r="L74" s="854"/>
      <c r="M74" s="854"/>
      <c r="N74" s="854"/>
      <c r="O74" s="854"/>
      <c r="P74" s="857"/>
      <c r="Q74" s="854"/>
      <c r="R74" s="652"/>
    </row>
    <row r="75" spans="1:18" ht="16.5" customHeight="1">
      <c r="A75" s="652">
        <v>1</v>
      </c>
      <c r="B75" s="849" t="s">
        <v>1731</v>
      </c>
      <c r="C75" s="854">
        <v>1015</v>
      </c>
      <c r="D75" s="854">
        <v>710</v>
      </c>
      <c r="E75" s="854">
        <v>70</v>
      </c>
      <c r="F75" s="854">
        <v>305</v>
      </c>
      <c r="G75" s="854">
        <v>85</v>
      </c>
      <c r="H75" s="854">
        <v>0</v>
      </c>
      <c r="I75" s="854">
        <v>0</v>
      </c>
      <c r="J75" s="854">
        <v>30</v>
      </c>
      <c r="K75" s="854">
        <v>35</v>
      </c>
      <c r="L75" s="854">
        <v>0</v>
      </c>
      <c r="M75" s="854">
        <v>0</v>
      </c>
      <c r="N75" s="854">
        <v>0</v>
      </c>
      <c r="O75" s="854">
        <v>65</v>
      </c>
      <c r="P75" s="857">
        <v>65</v>
      </c>
      <c r="Q75" s="854">
        <v>0</v>
      </c>
      <c r="R75" s="652">
        <v>0</v>
      </c>
    </row>
    <row r="76" spans="1:18" ht="16.5" customHeight="1">
      <c r="A76" s="652">
        <v>2</v>
      </c>
      <c r="B76" s="849" t="s">
        <v>1869</v>
      </c>
      <c r="C76" s="854">
        <v>449</v>
      </c>
      <c r="D76" s="854">
        <v>332</v>
      </c>
      <c r="E76" s="854">
        <v>74</v>
      </c>
      <c r="F76" s="854">
        <v>117</v>
      </c>
      <c r="G76" s="854">
        <v>64</v>
      </c>
      <c r="H76" s="854">
        <v>0</v>
      </c>
      <c r="I76" s="854">
        <v>39</v>
      </c>
      <c r="J76" s="854">
        <v>0</v>
      </c>
      <c r="K76" s="854">
        <v>5</v>
      </c>
      <c r="L76" s="854">
        <v>0</v>
      </c>
      <c r="M76" s="854">
        <v>18</v>
      </c>
      <c r="N76" s="854">
        <v>0</v>
      </c>
      <c r="O76" s="854">
        <v>62</v>
      </c>
      <c r="P76" s="857">
        <v>62</v>
      </c>
      <c r="Q76" s="854">
        <v>0</v>
      </c>
      <c r="R76" s="652">
        <v>0</v>
      </c>
    </row>
    <row r="77" spans="1:18" ht="16.5" customHeight="1">
      <c r="A77" s="652">
        <v>3</v>
      </c>
      <c r="B77" s="849" t="s">
        <v>1870</v>
      </c>
      <c r="C77" s="854">
        <v>681</v>
      </c>
      <c r="D77" s="854">
        <v>574</v>
      </c>
      <c r="E77" s="854">
        <v>84.4</v>
      </c>
      <c r="F77" s="854">
        <v>107</v>
      </c>
      <c r="G77" s="854">
        <v>29</v>
      </c>
      <c r="H77" s="854">
        <v>0</v>
      </c>
      <c r="I77" s="854">
        <v>0</v>
      </c>
      <c r="J77" s="854">
        <v>0</v>
      </c>
      <c r="K77" s="854">
        <v>0</v>
      </c>
      <c r="L77" s="854">
        <v>9</v>
      </c>
      <c r="M77" s="854">
        <v>20</v>
      </c>
      <c r="N77" s="854">
        <v>0</v>
      </c>
      <c r="O77" s="854">
        <v>29</v>
      </c>
      <c r="P77" s="857">
        <v>29</v>
      </c>
      <c r="Q77" s="854">
        <v>0</v>
      </c>
      <c r="R77" s="652">
        <v>0</v>
      </c>
    </row>
    <row r="78" spans="1:18" ht="16.5" customHeight="1">
      <c r="A78" s="652">
        <v>4</v>
      </c>
      <c r="B78" s="849" t="s">
        <v>1871</v>
      </c>
      <c r="C78" s="854">
        <v>776</v>
      </c>
      <c r="D78" s="854">
        <v>620</v>
      </c>
      <c r="E78" s="854">
        <v>80</v>
      </c>
      <c r="F78" s="854">
        <v>156</v>
      </c>
      <c r="G78" s="854">
        <v>46</v>
      </c>
      <c r="H78" s="854">
        <v>0</v>
      </c>
      <c r="I78" s="854">
        <v>0</v>
      </c>
      <c r="J78" s="854">
        <v>0</v>
      </c>
      <c r="K78" s="854">
        <v>26</v>
      </c>
      <c r="L78" s="854">
        <v>0</v>
      </c>
      <c r="M78" s="854">
        <v>20</v>
      </c>
      <c r="N78" s="854">
        <v>0</v>
      </c>
      <c r="O78" s="854">
        <v>46</v>
      </c>
      <c r="P78" s="857">
        <v>46</v>
      </c>
      <c r="Q78" s="854">
        <v>0</v>
      </c>
      <c r="R78" s="652">
        <v>0</v>
      </c>
    </row>
    <row r="79" spans="1:18" ht="16.5" customHeight="1">
      <c r="A79" s="652">
        <v>5</v>
      </c>
      <c r="B79" s="849" t="s">
        <v>1729</v>
      </c>
      <c r="C79" s="854">
        <v>585</v>
      </c>
      <c r="D79" s="854">
        <v>380</v>
      </c>
      <c r="E79" s="854">
        <v>65</v>
      </c>
      <c r="F79" s="854">
        <v>205</v>
      </c>
      <c r="G79" s="854">
        <v>49</v>
      </c>
      <c r="H79" s="854">
        <v>0</v>
      </c>
      <c r="I79" s="854">
        <v>0</v>
      </c>
      <c r="J79" s="854">
        <v>0</v>
      </c>
      <c r="K79" s="854">
        <v>0</v>
      </c>
      <c r="L79" s="854">
        <v>29</v>
      </c>
      <c r="M79" s="854">
        <v>90</v>
      </c>
      <c r="N79" s="854">
        <v>0</v>
      </c>
      <c r="O79" s="854">
        <v>119</v>
      </c>
      <c r="P79" s="857">
        <v>119</v>
      </c>
      <c r="Q79" s="854">
        <v>0</v>
      </c>
      <c r="R79" s="652">
        <v>0</v>
      </c>
    </row>
    <row r="80" spans="1:18" ht="16.5" customHeight="1">
      <c r="A80" s="652">
        <v>6</v>
      </c>
      <c r="B80" s="851" t="s">
        <v>1726</v>
      </c>
      <c r="C80" s="860">
        <v>430</v>
      </c>
      <c r="D80" s="854">
        <v>291</v>
      </c>
      <c r="E80" s="860" t="s">
        <v>1872</v>
      </c>
      <c r="F80" s="854">
        <v>139</v>
      </c>
      <c r="G80" s="854">
        <v>20</v>
      </c>
      <c r="H80" s="854">
        <v>0</v>
      </c>
      <c r="I80" s="854">
        <v>0</v>
      </c>
      <c r="J80" s="854">
        <v>0</v>
      </c>
      <c r="K80" s="854">
        <v>0</v>
      </c>
      <c r="L80" s="854">
        <v>20</v>
      </c>
      <c r="M80" s="854">
        <v>0</v>
      </c>
      <c r="N80" s="854">
        <v>0</v>
      </c>
      <c r="O80" s="854">
        <v>20</v>
      </c>
      <c r="P80" s="857">
        <v>20</v>
      </c>
      <c r="Q80" s="854">
        <v>0</v>
      </c>
      <c r="R80" s="652">
        <v>0</v>
      </c>
    </row>
    <row r="81" spans="1:18" ht="16.5" customHeight="1">
      <c r="A81" s="652">
        <v>7</v>
      </c>
      <c r="B81" s="851" t="s">
        <v>1873</v>
      </c>
      <c r="C81" s="860">
        <v>664</v>
      </c>
      <c r="D81" s="854">
        <v>348</v>
      </c>
      <c r="E81" s="860" t="s">
        <v>1874</v>
      </c>
      <c r="F81" s="854">
        <v>316</v>
      </c>
      <c r="G81" s="854">
        <v>42</v>
      </c>
      <c r="H81" s="854">
        <v>0</v>
      </c>
      <c r="I81" s="854">
        <v>0</v>
      </c>
      <c r="J81" s="854">
        <v>0</v>
      </c>
      <c r="K81" s="854">
        <v>0</v>
      </c>
      <c r="L81" s="854">
        <v>42</v>
      </c>
      <c r="M81" s="854">
        <v>0</v>
      </c>
      <c r="N81" s="854">
        <v>0</v>
      </c>
      <c r="O81" s="854">
        <v>42</v>
      </c>
      <c r="P81" s="857">
        <v>42</v>
      </c>
      <c r="Q81" s="854">
        <v>0</v>
      </c>
      <c r="R81" s="652">
        <v>0</v>
      </c>
    </row>
    <row r="82" spans="1:18" ht="16.5" customHeight="1">
      <c r="A82" s="652">
        <v>8</v>
      </c>
      <c r="B82" s="851" t="s">
        <v>1875</v>
      </c>
      <c r="C82" s="860">
        <v>972</v>
      </c>
      <c r="D82" s="854">
        <v>628</v>
      </c>
      <c r="E82" s="860" t="s">
        <v>1876</v>
      </c>
      <c r="F82" s="854">
        <v>344</v>
      </c>
      <c r="G82" s="854">
        <v>15</v>
      </c>
      <c r="H82" s="854">
        <v>0</v>
      </c>
      <c r="I82" s="854">
        <v>0</v>
      </c>
      <c r="J82" s="854">
        <v>0</v>
      </c>
      <c r="K82" s="854">
        <v>0</v>
      </c>
      <c r="L82" s="854">
        <v>15</v>
      </c>
      <c r="M82" s="854">
        <v>0</v>
      </c>
      <c r="N82" s="854">
        <v>0</v>
      </c>
      <c r="O82" s="854">
        <v>15</v>
      </c>
      <c r="P82" s="857">
        <v>15</v>
      </c>
      <c r="Q82" s="854">
        <v>0</v>
      </c>
      <c r="R82" s="652">
        <v>0</v>
      </c>
    </row>
    <row r="83" spans="1:18" ht="16.5" customHeight="1">
      <c r="A83" s="652">
        <v>9</v>
      </c>
      <c r="B83" s="851" t="s">
        <v>1877</v>
      </c>
      <c r="C83" s="860">
        <v>606</v>
      </c>
      <c r="D83" s="854">
        <v>348</v>
      </c>
      <c r="E83" s="860" t="s">
        <v>1878</v>
      </c>
      <c r="F83" s="854">
        <v>258</v>
      </c>
      <c r="G83" s="854">
        <v>40</v>
      </c>
      <c r="H83" s="854">
        <v>0</v>
      </c>
      <c r="I83" s="854">
        <v>0</v>
      </c>
      <c r="J83" s="854">
        <v>0</v>
      </c>
      <c r="K83" s="854">
        <v>0</v>
      </c>
      <c r="L83" s="854">
        <v>40</v>
      </c>
      <c r="M83" s="854">
        <v>0</v>
      </c>
      <c r="N83" s="854">
        <v>0</v>
      </c>
      <c r="O83" s="854">
        <v>40</v>
      </c>
      <c r="P83" s="857">
        <v>40</v>
      </c>
      <c r="Q83" s="854">
        <v>0</v>
      </c>
      <c r="R83" s="652">
        <v>0</v>
      </c>
    </row>
    <row r="84" spans="1:18" ht="16.5" customHeight="1">
      <c r="A84" s="652">
        <v>10</v>
      </c>
      <c r="B84" s="851" t="s">
        <v>1879</v>
      </c>
      <c r="C84" s="860">
        <v>432</v>
      </c>
      <c r="D84" s="854">
        <v>282</v>
      </c>
      <c r="E84" s="860" t="s">
        <v>1880</v>
      </c>
      <c r="F84" s="854">
        <v>150</v>
      </c>
      <c r="G84" s="854">
        <v>69</v>
      </c>
      <c r="H84" s="854">
        <v>0</v>
      </c>
      <c r="I84" s="854">
        <v>0</v>
      </c>
      <c r="J84" s="854">
        <v>0</v>
      </c>
      <c r="K84" s="854">
        <v>0</v>
      </c>
      <c r="L84" s="854">
        <v>30</v>
      </c>
      <c r="M84" s="854">
        <v>39</v>
      </c>
      <c r="N84" s="854">
        <v>0</v>
      </c>
      <c r="O84" s="854">
        <v>69</v>
      </c>
      <c r="P84" s="857">
        <v>69</v>
      </c>
      <c r="Q84" s="854">
        <v>0</v>
      </c>
      <c r="R84" s="652">
        <v>0</v>
      </c>
    </row>
  </sheetData>
  <sheetProtection/>
  <mergeCells count="13">
    <mergeCell ref="G4:N4"/>
    <mergeCell ref="O4:R4"/>
    <mergeCell ref="G5:G6"/>
    <mergeCell ref="H5:N5"/>
    <mergeCell ref="O5:O6"/>
    <mergeCell ref="P5:R5"/>
    <mergeCell ref="A1:R1"/>
    <mergeCell ref="A4:A6"/>
    <mergeCell ref="B4:B6"/>
    <mergeCell ref="C4:C6"/>
    <mergeCell ref="D4:D6"/>
    <mergeCell ref="E4:E6"/>
    <mergeCell ref="F4:F6"/>
  </mergeCells>
  <printOptions/>
  <pageMargins left="0.5511811023622047" right="0.15748031496062992" top="0.3937007874015748" bottom="0.35433070866141736"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T21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J8" sqref="J8"/>
    </sheetView>
  </sheetViews>
  <sheetFormatPr defaultColWidth="8.796875" defaultRowHeight="15"/>
  <cols>
    <col min="1" max="1" width="4" style="628" customWidth="1"/>
    <col min="2" max="2" width="27.59765625" style="628" customWidth="1"/>
    <col min="3" max="10" width="5.69921875" style="604" customWidth="1"/>
    <col min="11" max="11" width="8" style="604" customWidth="1"/>
    <col min="12" max="13" width="5.19921875" style="604" customWidth="1"/>
    <col min="14" max="14" width="6.59765625" style="604" customWidth="1"/>
    <col min="15" max="15" width="6.3984375" style="604" customWidth="1"/>
    <col min="16" max="16" width="6.5" style="604" customWidth="1"/>
    <col min="17" max="18" width="7.19921875" style="604" customWidth="1"/>
    <col min="19" max="19" width="9" style="604" customWidth="1"/>
    <col min="20" max="20" width="10.3984375" style="604" bestFit="1" customWidth="1"/>
    <col min="21" max="16384" width="9" style="604" customWidth="1"/>
  </cols>
  <sheetData>
    <row r="1" spans="1:16" ht="39" customHeight="1">
      <c r="A1" s="1539" t="s">
        <v>1588</v>
      </c>
      <c r="B1" s="1539"/>
      <c r="C1" s="1539"/>
      <c r="D1" s="1539"/>
      <c r="E1" s="1539"/>
      <c r="F1" s="1539"/>
      <c r="G1" s="1539"/>
      <c r="H1" s="1539"/>
      <c r="I1" s="1539"/>
      <c r="J1" s="1539"/>
      <c r="K1" s="1539"/>
      <c r="L1" s="1539"/>
      <c r="M1" s="1539"/>
      <c r="N1" s="1539"/>
      <c r="O1" s="1539"/>
      <c r="P1" s="1539"/>
    </row>
    <row r="2" spans="1:16" ht="19.5" customHeight="1">
      <c r="A2" s="744" t="s">
        <v>2315</v>
      </c>
      <c r="B2" s="1341"/>
      <c r="C2" s="639"/>
      <c r="D2" s="639"/>
      <c r="E2" s="639"/>
      <c r="F2" s="639"/>
      <c r="G2" s="639"/>
      <c r="H2" s="639"/>
      <c r="I2" s="639"/>
      <c r="J2" s="639"/>
      <c r="K2" s="639"/>
      <c r="L2" s="639"/>
      <c r="M2" s="639"/>
      <c r="N2" s="639"/>
      <c r="O2" s="639"/>
      <c r="P2" s="639"/>
    </row>
    <row r="3" ht="10.5" customHeight="1"/>
    <row r="4" spans="1:18" s="728" customFormat="1" ht="16.5" customHeight="1">
      <c r="A4" s="1532" t="s">
        <v>488</v>
      </c>
      <c r="B4" s="1535" t="s">
        <v>1301</v>
      </c>
      <c r="C4" s="1541" t="s">
        <v>1227</v>
      </c>
      <c r="D4" s="1541"/>
      <c r="E4" s="1541"/>
      <c r="F4" s="1541"/>
      <c r="G4" s="1541"/>
      <c r="H4" s="1541"/>
      <c r="I4" s="1541"/>
      <c r="J4" s="1541"/>
      <c r="K4" s="1541"/>
      <c r="L4" s="1541"/>
      <c r="M4" s="1541"/>
      <c r="N4" s="1541"/>
      <c r="O4" s="1541"/>
      <c r="P4" s="1541"/>
      <c r="Q4" s="1541"/>
      <c r="R4" s="1541"/>
    </row>
    <row r="5" spans="1:18" s="728" customFormat="1" ht="18" customHeight="1">
      <c r="A5" s="1533"/>
      <c r="B5" s="1536"/>
      <c r="C5" s="1538" t="s">
        <v>1447</v>
      </c>
      <c r="D5" s="1538"/>
      <c r="E5" s="1538"/>
      <c r="F5" s="1538"/>
      <c r="G5" s="1538"/>
      <c r="H5" s="1538"/>
      <c r="I5" s="1538"/>
      <c r="J5" s="1538"/>
      <c r="K5" s="1540" t="s">
        <v>1280</v>
      </c>
      <c r="L5" s="1540"/>
      <c r="M5" s="1540"/>
      <c r="N5" s="1540"/>
      <c r="O5" s="1540"/>
      <c r="P5" s="1540"/>
      <c r="Q5" s="1540"/>
      <c r="R5" s="1540"/>
    </row>
    <row r="6" spans="1:18" s="728" customFormat="1" ht="68.25" customHeight="1">
      <c r="A6" s="1534"/>
      <c r="B6" s="1537"/>
      <c r="C6" s="885" t="s">
        <v>947</v>
      </c>
      <c r="D6" s="886" t="s">
        <v>1359</v>
      </c>
      <c r="E6" s="886" t="s">
        <v>1421</v>
      </c>
      <c r="F6" s="886" t="s">
        <v>1432</v>
      </c>
      <c r="G6" s="886" t="s">
        <v>1480</v>
      </c>
      <c r="H6" s="887" t="s">
        <v>1514</v>
      </c>
      <c r="I6" s="811" t="s">
        <v>1578</v>
      </c>
      <c r="J6" s="811" t="s">
        <v>1431</v>
      </c>
      <c r="K6" s="885" t="s">
        <v>947</v>
      </c>
      <c r="L6" s="886" t="s">
        <v>1359</v>
      </c>
      <c r="M6" s="886" t="s">
        <v>1417</v>
      </c>
      <c r="N6" s="886" t="s">
        <v>1433</v>
      </c>
      <c r="O6" s="886" t="s">
        <v>1477</v>
      </c>
      <c r="P6" s="887" t="s">
        <v>1514</v>
      </c>
      <c r="Q6" s="811" t="s">
        <v>1578</v>
      </c>
      <c r="R6" s="650" t="s">
        <v>1481</v>
      </c>
    </row>
    <row r="7" spans="1:20" ht="20.25" customHeight="1">
      <c r="A7" s="833"/>
      <c r="B7" s="1342" t="s">
        <v>1165</v>
      </c>
      <c r="C7" s="833">
        <f>SUM(D7:J7)</f>
        <v>169</v>
      </c>
      <c r="D7" s="833"/>
      <c r="E7" s="833"/>
      <c r="F7" s="833">
        <f>SUM(F8:F216)</f>
        <v>5</v>
      </c>
      <c r="G7" s="833">
        <f>SUM(G8:G216)</f>
        <v>26</v>
      </c>
      <c r="H7" s="833">
        <f>SUM(H8:H216)</f>
        <v>28</v>
      </c>
      <c r="I7" s="833">
        <f>SUM(I8:I216)</f>
        <v>70</v>
      </c>
      <c r="J7" s="833">
        <v>40</v>
      </c>
      <c r="K7" s="867">
        <f>SUM(M7:R7)</f>
        <v>34430.629</v>
      </c>
      <c r="L7" s="867">
        <f>SUM(L10:L204)</f>
        <v>0</v>
      </c>
      <c r="M7" s="867">
        <f>SUM(M10:M204)</f>
        <v>0</v>
      </c>
      <c r="N7" s="1015">
        <v>845.9</v>
      </c>
      <c r="O7" s="1015">
        <v>3333.27</v>
      </c>
      <c r="P7" s="1015">
        <v>4203.798</v>
      </c>
      <c r="Q7" s="1015">
        <v>11480.661</v>
      </c>
      <c r="R7" s="1015">
        <v>14567</v>
      </c>
      <c r="T7" s="1175"/>
    </row>
    <row r="8" spans="1:18" ht="16.5">
      <c r="A8" s="868" t="s">
        <v>486</v>
      </c>
      <c r="B8" s="1343" t="s">
        <v>1736</v>
      </c>
      <c r="C8" s="869"/>
      <c r="D8" s="869"/>
      <c r="E8" s="869"/>
      <c r="F8" s="869"/>
      <c r="G8" s="869"/>
      <c r="H8" s="869"/>
      <c r="I8" s="869"/>
      <c r="J8" s="869">
        <v>4</v>
      </c>
      <c r="K8" s="870"/>
      <c r="L8" s="870"/>
      <c r="M8" s="870"/>
      <c r="N8" s="870"/>
      <c r="O8" s="870"/>
      <c r="P8" s="871"/>
      <c r="Q8" s="870">
        <f>SUM(Q10:Q26)</f>
        <v>774.314</v>
      </c>
      <c r="R8" s="872">
        <f>SUM(R9:R26)</f>
        <v>996.7</v>
      </c>
    </row>
    <row r="9" spans="1:18" ht="16.5">
      <c r="A9" s="873" t="s">
        <v>896</v>
      </c>
      <c r="B9" s="1344" t="s">
        <v>1704</v>
      </c>
      <c r="C9" s="874"/>
      <c r="D9" s="874"/>
      <c r="E9" s="874"/>
      <c r="F9" s="874"/>
      <c r="G9" s="874"/>
      <c r="H9" s="874"/>
      <c r="I9" s="874"/>
      <c r="J9" s="874"/>
      <c r="K9" s="872"/>
      <c r="L9" s="872"/>
      <c r="M9" s="872"/>
      <c r="N9" s="872"/>
      <c r="O9" s="872"/>
      <c r="P9" s="875"/>
      <c r="Q9" s="875"/>
      <c r="R9" s="875"/>
    </row>
    <row r="10" spans="1:18" ht="16.5">
      <c r="A10" s="876">
        <v>1</v>
      </c>
      <c r="B10" s="1345" t="s">
        <v>1884</v>
      </c>
      <c r="C10" s="877">
        <f>SUM(F10:J10)</f>
        <v>3</v>
      </c>
      <c r="D10" s="877"/>
      <c r="E10" s="877"/>
      <c r="F10" s="877"/>
      <c r="G10" s="877">
        <v>2</v>
      </c>
      <c r="H10" s="877"/>
      <c r="I10" s="877">
        <v>1</v>
      </c>
      <c r="J10" s="877"/>
      <c r="K10" s="878"/>
      <c r="L10" s="878"/>
      <c r="M10" s="879"/>
      <c r="N10" s="872"/>
      <c r="O10" s="875">
        <f>158.3+174.8</f>
        <v>333.1</v>
      </c>
      <c r="P10" s="875"/>
      <c r="Q10" s="875">
        <v>212.512</v>
      </c>
      <c r="R10" s="875"/>
    </row>
    <row r="11" spans="1:18" ht="16.5">
      <c r="A11" s="876">
        <v>2</v>
      </c>
      <c r="B11" s="1345" t="s">
        <v>1885</v>
      </c>
      <c r="C11" s="877">
        <f>SUM(F11:J11)</f>
        <v>3</v>
      </c>
      <c r="D11" s="877"/>
      <c r="E11" s="877"/>
      <c r="F11" s="877">
        <v>1</v>
      </c>
      <c r="G11" s="877"/>
      <c r="H11" s="877">
        <v>2</v>
      </c>
      <c r="I11" s="888"/>
      <c r="J11" s="877"/>
      <c r="K11" s="878"/>
      <c r="L11" s="878"/>
      <c r="M11" s="879"/>
      <c r="N11" s="875">
        <v>270.2</v>
      </c>
      <c r="O11" s="872"/>
      <c r="P11" s="875">
        <f>59.368+155.594</f>
        <v>214.962</v>
      </c>
      <c r="Q11" s="888"/>
      <c r="R11" s="875"/>
    </row>
    <row r="12" spans="1:18" ht="16.5">
      <c r="A12" s="873" t="s">
        <v>897</v>
      </c>
      <c r="B12" s="1344" t="s">
        <v>1703</v>
      </c>
      <c r="C12" s="877"/>
      <c r="D12" s="877"/>
      <c r="E12" s="877"/>
      <c r="F12" s="877"/>
      <c r="G12" s="877"/>
      <c r="H12" s="877"/>
      <c r="I12" s="877"/>
      <c r="J12" s="877"/>
      <c r="K12" s="878"/>
      <c r="L12" s="878"/>
      <c r="M12" s="878"/>
      <c r="N12" s="875"/>
      <c r="O12" s="875"/>
      <c r="P12" s="875"/>
      <c r="Q12" s="875"/>
      <c r="R12" s="875"/>
    </row>
    <row r="13" spans="1:18" ht="16.5">
      <c r="A13" s="876">
        <v>3</v>
      </c>
      <c r="B13" s="1345" t="s">
        <v>1886</v>
      </c>
      <c r="C13" s="877">
        <f>SUM(F13:J13)</f>
        <v>1</v>
      </c>
      <c r="D13" s="877"/>
      <c r="E13" s="877"/>
      <c r="F13" s="877"/>
      <c r="G13" s="877"/>
      <c r="H13" s="877"/>
      <c r="I13" s="877">
        <v>1</v>
      </c>
      <c r="J13" s="877"/>
      <c r="K13" s="878"/>
      <c r="L13" s="878"/>
      <c r="M13" s="878"/>
      <c r="N13" s="875"/>
      <c r="O13" s="875"/>
      <c r="P13" s="875"/>
      <c r="Q13" s="875">
        <v>203.64</v>
      </c>
      <c r="R13" s="875"/>
    </row>
    <row r="14" spans="1:18" ht="16.5">
      <c r="A14" s="876">
        <v>4</v>
      </c>
      <c r="B14" s="1345" t="s">
        <v>1887</v>
      </c>
      <c r="C14" s="877">
        <f>SUM(F14:J14)</f>
        <v>2</v>
      </c>
      <c r="D14" s="877"/>
      <c r="E14" s="877"/>
      <c r="F14" s="877"/>
      <c r="G14" s="877"/>
      <c r="H14" s="877"/>
      <c r="I14" s="877">
        <v>1</v>
      </c>
      <c r="J14" s="877">
        <v>1</v>
      </c>
      <c r="K14" s="878"/>
      <c r="L14" s="878"/>
      <c r="M14" s="878"/>
      <c r="N14" s="875"/>
      <c r="O14" s="875"/>
      <c r="P14" s="875"/>
      <c r="Q14" s="875">
        <v>172.016</v>
      </c>
      <c r="R14" s="875">
        <v>283.8</v>
      </c>
    </row>
    <row r="15" spans="1:18" ht="16.5">
      <c r="A15" s="873" t="s">
        <v>514</v>
      </c>
      <c r="B15" s="1344" t="s">
        <v>1700</v>
      </c>
      <c r="C15" s="877"/>
      <c r="D15" s="877"/>
      <c r="E15" s="877"/>
      <c r="F15" s="877"/>
      <c r="G15" s="877"/>
      <c r="H15" s="877"/>
      <c r="I15" s="877"/>
      <c r="J15" s="877"/>
      <c r="K15" s="878"/>
      <c r="L15" s="878"/>
      <c r="M15" s="878"/>
      <c r="N15" s="875"/>
      <c r="O15" s="875"/>
      <c r="P15" s="875"/>
      <c r="Q15" s="875"/>
      <c r="R15" s="875"/>
    </row>
    <row r="16" spans="1:18" ht="16.5">
      <c r="A16" s="876">
        <v>5</v>
      </c>
      <c r="B16" s="1345" t="s">
        <v>1888</v>
      </c>
      <c r="C16" s="877">
        <f>SUM(F16:J16)</f>
        <v>1</v>
      </c>
      <c r="D16" s="877"/>
      <c r="E16" s="877"/>
      <c r="F16" s="877"/>
      <c r="G16" s="877"/>
      <c r="H16" s="877"/>
      <c r="I16" s="877">
        <v>1</v>
      </c>
      <c r="J16" s="877"/>
      <c r="K16" s="878"/>
      <c r="L16" s="878"/>
      <c r="M16" s="878"/>
      <c r="N16" s="878"/>
      <c r="O16" s="878"/>
      <c r="P16" s="875"/>
      <c r="Q16" s="875">
        <v>186.146</v>
      </c>
      <c r="R16" s="875"/>
    </row>
    <row r="17" spans="1:18" ht="16.5">
      <c r="A17" s="873" t="s">
        <v>1889</v>
      </c>
      <c r="B17" s="1344" t="s">
        <v>1890</v>
      </c>
      <c r="C17" s="877"/>
      <c r="D17" s="877"/>
      <c r="E17" s="877"/>
      <c r="F17" s="877"/>
      <c r="G17" s="877"/>
      <c r="H17" s="877"/>
      <c r="I17" s="877"/>
      <c r="J17" s="877"/>
      <c r="K17" s="878"/>
      <c r="L17" s="878"/>
      <c r="M17" s="878"/>
      <c r="N17" s="875"/>
      <c r="O17" s="875"/>
      <c r="P17" s="875"/>
      <c r="Q17" s="875"/>
      <c r="R17" s="875"/>
    </row>
    <row r="18" spans="1:18" ht="16.5">
      <c r="A18" s="876">
        <v>6</v>
      </c>
      <c r="B18" s="1345" t="s">
        <v>1891</v>
      </c>
      <c r="C18" s="877">
        <f>SUM(F18:J18)</f>
        <v>1</v>
      </c>
      <c r="D18" s="877"/>
      <c r="E18" s="877"/>
      <c r="F18" s="877"/>
      <c r="G18" s="877"/>
      <c r="H18" s="877">
        <v>1</v>
      </c>
      <c r="I18" s="877"/>
      <c r="J18" s="877"/>
      <c r="K18" s="878"/>
      <c r="L18" s="878"/>
      <c r="M18" s="878"/>
      <c r="N18" s="878"/>
      <c r="O18" s="878"/>
      <c r="P18" s="875">
        <v>212.735</v>
      </c>
      <c r="Q18" s="888"/>
      <c r="R18" s="875"/>
    </row>
    <row r="19" spans="1:18" ht="16.5">
      <c r="A19" s="873" t="s">
        <v>1892</v>
      </c>
      <c r="B19" s="1344" t="s">
        <v>1706</v>
      </c>
      <c r="C19" s="877"/>
      <c r="D19" s="877"/>
      <c r="E19" s="877"/>
      <c r="F19" s="877"/>
      <c r="G19" s="877"/>
      <c r="H19" s="877"/>
      <c r="I19" s="877"/>
      <c r="J19" s="877"/>
      <c r="K19" s="878"/>
      <c r="L19" s="878"/>
      <c r="M19" s="878"/>
      <c r="N19" s="878"/>
      <c r="O19" s="878"/>
      <c r="P19" s="875"/>
      <c r="Q19" s="875"/>
      <c r="R19" s="875"/>
    </row>
    <row r="20" spans="1:18" ht="16.5">
      <c r="A20" s="876">
        <v>7</v>
      </c>
      <c r="B20" s="1345" t="s">
        <v>1893</v>
      </c>
      <c r="C20" s="877">
        <f>SUM(F20:J20)</f>
        <v>1</v>
      </c>
      <c r="D20" s="877"/>
      <c r="E20" s="877"/>
      <c r="F20" s="877"/>
      <c r="G20" s="877">
        <v>1</v>
      </c>
      <c r="H20" s="877"/>
      <c r="I20" s="877"/>
      <c r="J20" s="877"/>
      <c r="K20" s="878"/>
      <c r="L20" s="878"/>
      <c r="M20" s="878"/>
      <c r="N20" s="878"/>
      <c r="O20" s="875">
        <v>175</v>
      </c>
      <c r="P20" s="875"/>
      <c r="Q20" s="875"/>
      <c r="R20" s="875"/>
    </row>
    <row r="21" spans="1:18" ht="16.5">
      <c r="A21" s="873" t="s">
        <v>1894</v>
      </c>
      <c r="B21" s="1344" t="s">
        <v>1705</v>
      </c>
      <c r="C21" s="877"/>
      <c r="D21" s="877"/>
      <c r="E21" s="877"/>
      <c r="F21" s="877"/>
      <c r="G21" s="877"/>
      <c r="H21" s="877"/>
      <c r="I21" s="877"/>
      <c r="J21" s="877"/>
      <c r="K21" s="878"/>
      <c r="L21" s="878"/>
      <c r="M21" s="878"/>
      <c r="N21" s="878"/>
      <c r="O21" s="875"/>
      <c r="P21" s="875"/>
      <c r="Q21" s="875"/>
      <c r="R21" s="875"/>
    </row>
    <row r="22" spans="1:18" ht="16.5">
      <c r="A22" s="876">
        <v>8</v>
      </c>
      <c r="B22" s="1345" t="s">
        <v>1895</v>
      </c>
      <c r="C22" s="877"/>
      <c r="D22" s="877"/>
      <c r="E22" s="877"/>
      <c r="F22" s="877"/>
      <c r="G22" s="877"/>
      <c r="H22" s="877"/>
      <c r="I22" s="877"/>
      <c r="J22" s="877">
        <v>1</v>
      </c>
      <c r="K22" s="878"/>
      <c r="L22" s="878"/>
      <c r="M22" s="878"/>
      <c r="N22" s="878"/>
      <c r="O22" s="875"/>
      <c r="P22" s="875"/>
      <c r="Q22" s="875"/>
      <c r="R22" s="875">
        <v>272.9</v>
      </c>
    </row>
    <row r="23" spans="1:18" ht="16.5">
      <c r="A23" s="873" t="s">
        <v>1896</v>
      </c>
      <c r="B23" s="1344" t="s">
        <v>1702</v>
      </c>
      <c r="C23" s="877"/>
      <c r="D23" s="877"/>
      <c r="E23" s="877"/>
      <c r="F23" s="877"/>
      <c r="G23" s="877"/>
      <c r="H23" s="877"/>
      <c r="I23" s="877"/>
      <c r="J23" s="877"/>
      <c r="K23" s="878"/>
      <c r="L23" s="878"/>
      <c r="M23" s="878"/>
      <c r="N23" s="878"/>
      <c r="O23" s="875"/>
      <c r="P23" s="875"/>
      <c r="Q23" s="875"/>
      <c r="R23" s="875"/>
    </row>
    <row r="24" spans="1:18" ht="16.5">
      <c r="A24" s="876">
        <v>9</v>
      </c>
      <c r="B24" s="1345" t="s">
        <v>1897</v>
      </c>
      <c r="C24" s="877"/>
      <c r="D24" s="877"/>
      <c r="E24" s="877"/>
      <c r="F24" s="877"/>
      <c r="G24" s="877"/>
      <c r="H24" s="877"/>
      <c r="I24" s="877"/>
      <c r="J24" s="877">
        <v>1</v>
      </c>
      <c r="K24" s="878"/>
      <c r="L24" s="878"/>
      <c r="M24" s="878"/>
      <c r="N24" s="878"/>
      <c r="O24" s="875"/>
      <c r="P24" s="875"/>
      <c r="Q24" s="875"/>
      <c r="R24" s="875">
        <v>220</v>
      </c>
    </row>
    <row r="25" spans="1:18" ht="16.5">
      <c r="A25" s="873" t="s">
        <v>1898</v>
      </c>
      <c r="B25" s="1344" t="s">
        <v>1899</v>
      </c>
      <c r="C25" s="877"/>
      <c r="D25" s="877"/>
      <c r="E25" s="877"/>
      <c r="F25" s="877"/>
      <c r="G25" s="877"/>
      <c r="H25" s="877"/>
      <c r="I25" s="877"/>
      <c r="J25" s="877"/>
      <c r="K25" s="878"/>
      <c r="L25" s="878"/>
      <c r="M25" s="878"/>
      <c r="N25" s="878"/>
      <c r="O25" s="875"/>
      <c r="P25" s="875"/>
      <c r="Q25" s="875"/>
      <c r="R25" s="875"/>
    </row>
    <row r="26" spans="1:18" ht="16.5">
      <c r="A26" s="876">
        <v>10</v>
      </c>
      <c r="B26" s="1345" t="s">
        <v>1900</v>
      </c>
      <c r="C26" s="877"/>
      <c r="D26" s="877"/>
      <c r="E26" s="877"/>
      <c r="F26" s="877"/>
      <c r="G26" s="877"/>
      <c r="H26" s="877"/>
      <c r="I26" s="877"/>
      <c r="J26" s="877">
        <v>1</v>
      </c>
      <c r="K26" s="878"/>
      <c r="L26" s="878"/>
      <c r="M26" s="878"/>
      <c r="N26" s="878"/>
      <c r="O26" s="875"/>
      <c r="P26" s="875"/>
      <c r="Q26" s="875"/>
      <c r="R26" s="875">
        <v>220</v>
      </c>
    </row>
    <row r="27" spans="1:18" ht="16.5">
      <c r="A27" s="873" t="s">
        <v>484</v>
      </c>
      <c r="B27" s="1344" t="s">
        <v>1658</v>
      </c>
      <c r="C27" s="877"/>
      <c r="D27" s="877"/>
      <c r="E27" s="877"/>
      <c r="F27" s="877"/>
      <c r="G27" s="877"/>
      <c r="H27" s="877"/>
      <c r="I27" s="877"/>
      <c r="J27" s="874">
        <f>SUM(J29:J63)</f>
        <v>3</v>
      </c>
      <c r="K27" s="875"/>
      <c r="L27" s="875"/>
      <c r="M27" s="875"/>
      <c r="N27" s="875"/>
      <c r="O27" s="875"/>
      <c r="P27" s="875"/>
      <c r="Q27" s="872">
        <f>SUM(Q28:Q63)</f>
        <v>3069.08</v>
      </c>
      <c r="R27" s="872">
        <f>SUM(R44:R63)</f>
        <v>763.5999999999999</v>
      </c>
    </row>
    <row r="28" spans="1:18" ht="16.5">
      <c r="A28" s="873" t="s">
        <v>899</v>
      </c>
      <c r="B28" s="1344" t="s">
        <v>1670</v>
      </c>
      <c r="C28" s="877"/>
      <c r="D28" s="877"/>
      <c r="E28" s="877"/>
      <c r="F28" s="877"/>
      <c r="G28" s="877"/>
      <c r="H28" s="877"/>
      <c r="I28" s="877"/>
      <c r="J28" s="877"/>
      <c r="K28" s="875"/>
      <c r="L28" s="875"/>
      <c r="M28" s="875"/>
      <c r="N28" s="875"/>
      <c r="O28" s="875"/>
      <c r="P28" s="875"/>
      <c r="Q28" s="875"/>
      <c r="R28" s="875"/>
    </row>
    <row r="29" spans="1:18" ht="16.5">
      <c r="A29" s="876">
        <v>11</v>
      </c>
      <c r="B29" s="1345" t="s">
        <v>1901</v>
      </c>
      <c r="C29" s="877">
        <f>SUM(F29:J29)</f>
        <v>2</v>
      </c>
      <c r="D29" s="877"/>
      <c r="E29" s="877"/>
      <c r="F29" s="877"/>
      <c r="G29" s="877">
        <v>2</v>
      </c>
      <c r="H29" s="877"/>
      <c r="I29" s="877"/>
      <c r="J29" s="877"/>
      <c r="K29" s="875"/>
      <c r="L29" s="875"/>
      <c r="M29" s="875"/>
      <c r="N29" s="875"/>
      <c r="O29" s="875">
        <v>316</v>
      </c>
      <c r="P29" s="875"/>
      <c r="Q29" s="875"/>
      <c r="R29" s="875"/>
    </row>
    <row r="30" spans="1:18" ht="16.5">
      <c r="A30" s="876">
        <v>12</v>
      </c>
      <c r="B30" s="1345" t="s">
        <v>1902</v>
      </c>
      <c r="C30" s="877">
        <f>SUM(F30:J30)</f>
        <v>3</v>
      </c>
      <c r="D30" s="877"/>
      <c r="E30" s="877"/>
      <c r="F30" s="877"/>
      <c r="G30" s="877">
        <v>1</v>
      </c>
      <c r="H30" s="877"/>
      <c r="I30" s="877">
        <v>2</v>
      </c>
      <c r="J30" s="877"/>
      <c r="K30" s="875"/>
      <c r="L30" s="875"/>
      <c r="M30" s="875"/>
      <c r="N30" s="875"/>
      <c r="O30" s="875">
        <v>205.7</v>
      </c>
      <c r="P30" s="875"/>
      <c r="Q30" s="875">
        <f>183.553+181.764</f>
        <v>365.317</v>
      </c>
      <c r="R30" s="875"/>
    </row>
    <row r="31" spans="1:18" ht="16.5">
      <c r="A31" s="873" t="s">
        <v>900</v>
      </c>
      <c r="B31" s="1344" t="s">
        <v>1660</v>
      </c>
      <c r="C31" s="877"/>
      <c r="D31" s="877"/>
      <c r="E31" s="877"/>
      <c r="F31" s="877"/>
      <c r="G31" s="877"/>
      <c r="H31" s="877"/>
      <c r="I31" s="877"/>
      <c r="J31" s="877"/>
      <c r="K31" s="875"/>
      <c r="L31" s="875"/>
      <c r="M31" s="875"/>
      <c r="N31" s="875"/>
      <c r="O31" s="875"/>
      <c r="P31" s="875"/>
      <c r="Q31" s="875"/>
      <c r="R31" s="875"/>
    </row>
    <row r="32" spans="1:18" ht="16.5">
      <c r="A32" s="876">
        <v>13</v>
      </c>
      <c r="B32" s="1345" t="s">
        <v>1903</v>
      </c>
      <c r="C32" s="877">
        <f>SUM(F32:J32)</f>
        <v>1</v>
      </c>
      <c r="D32" s="877"/>
      <c r="E32" s="877"/>
      <c r="F32" s="877"/>
      <c r="G32" s="877"/>
      <c r="H32" s="877">
        <v>1</v>
      </c>
      <c r="I32" s="877"/>
      <c r="J32" s="877"/>
      <c r="K32" s="875"/>
      <c r="L32" s="875"/>
      <c r="M32" s="875"/>
      <c r="N32" s="875"/>
      <c r="O32" s="875"/>
      <c r="P32" s="875">
        <v>80.092</v>
      </c>
      <c r="Q32" s="888"/>
      <c r="R32" s="875"/>
    </row>
    <row r="33" spans="1:18" ht="16.5">
      <c r="A33" s="876">
        <v>14</v>
      </c>
      <c r="B33" s="1345" t="s">
        <v>1904</v>
      </c>
      <c r="C33" s="877">
        <f>SUM(F33:J33)</f>
        <v>3</v>
      </c>
      <c r="D33" s="877"/>
      <c r="E33" s="877"/>
      <c r="F33" s="877"/>
      <c r="G33" s="877">
        <v>1</v>
      </c>
      <c r="H33" s="877"/>
      <c r="I33" s="877">
        <v>2</v>
      </c>
      <c r="J33" s="877"/>
      <c r="K33" s="875"/>
      <c r="L33" s="875"/>
      <c r="M33" s="875"/>
      <c r="N33" s="875"/>
      <c r="O33" s="875">
        <v>105.1</v>
      </c>
      <c r="P33" s="875"/>
      <c r="Q33" s="875">
        <f>181.136+183.39</f>
        <v>364.52599999999995</v>
      </c>
      <c r="R33" s="875"/>
    </row>
    <row r="34" spans="1:18" ht="16.5">
      <c r="A34" s="876">
        <v>15</v>
      </c>
      <c r="B34" s="1345" t="s">
        <v>1905</v>
      </c>
      <c r="C34" s="877">
        <f>SUM(F34:J34)</f>
        <v>2</v>
      </c>
      <c r="D34" s="877"/>
      <c r="E34" s="877"/>
      <c r="F34" s="877">
        <v>1</v>
      </c>
      <c r="G34" s="877"/>
      <c r="H34" s="877">
        <v>1</v>
      </c>
      <c r="I34" s="877"/>
      <c r="J34" s="877"/>
      <c r="K34" s="875"/>
      <c r="L34" s="875"/>
      <c r="M34" s="875"/>
      <c r="N34" s="875">
        <v>281.7</v>
      </c>
      <c r="O34" s="875"/>
      <c r="P34" s="875">
        <v>158.172</v>
      </c>
      <c r="Q34" s="888"/>
      <c r="R34" s="875"/>
    </row>
    <row r="35" spans="1:18" ht="16.5">
      <c r="A35" s="873" t="s">
        <v>686</v>
      </c>
      <c r="B35" s="1344" t="s">
        <v>317</v>
      </c>
      <c r="C35" s="877"/>
      <c r="D35" s="877"/>
      <c r="E35" s="877"/>
      <c r="F35" s="877"/>
      <c r="G35" s="877"/>
      <c r="H35" s="877"/>
      <c r="I35" s="877"/>
      <c r="J35" s="877"/>
      <c r="K35" s="875"/>
      <c r="L35" s="875"/>
      <c r="M35" s="875"/>
      <c r="N35" s="875"/>
      <c r="O35" s="875"/>
      <c r="P35" s="875"/>
      <c r="Q35" s="875"/>
      <c r="R35" s="875"/>
    </row>
    <row r="36" spans="1:18" ht="16.5">
      <c r="A36" s="876">
        <v>16</v>
      </c>
      <c r="B36" s="1345" t="s">
        <v>1906</v>
      </c>
      <c r="C36" s="877"/>
      <c r="D36" s="877"/>
      <c r="E36" s="877"/>
      <c r="F36" s="877"/>
      <c r="G36" s="877"/>
      <c r="H36" s="877"/>
      <c r="I36" s="877"/>
      <c r="J36" s="877"/>
      <c r="K36" s="875"/>
      <c r="L36" s="875"/>
      <c r="M36" s="875"/>
      <c r="N36" s="875"/>
      <c r="O36" s="875"/>
      <c r="P36" s="875"/>
      <c r="Q36" s="875"/>
      <c r="R36" s="875"/>
    </row>
    <row r="37" spans="1:18" ht="16.5">
      <c r="A37" s="876">
        <v>17</v>
      </c>
      <c r="B37" s="1345" t="s">
        <v>1907</v>
      </c>
      <c r="C37" s="877">
        <f>SUM(F37:J37)</f>
        <v>2</v>
      </c>
      <c r="D37" s="877"/>
      <c r="E37" s="877"/>
      <c r="F37" s="877"/>
      <c r="G37" s="877"/>
      <c r="H37" s="877">
        <v>1</v>
      </c>
      <c r="I37" s="877">
        <v>1</v>
      </c>
      <c r="J37" s="877"/>
      <c r="K37" s="875"/>
      <c r="L37" s="875"/>
      <c r="M37" s="875"/>
      <c r="N37" s="875"/>
      <c r="O37" s="875"/>
      <c r="P37" s="875">
        <f>30.8+32.2</f>
        <v>63</v>
      </c>
      <c r="Q37" s="875">
        <v>213.95</v>
      </c>
      <c r="R37" s="875"/>
    </row>
    <row r="38" spans="1:18" ht="16.5">
      <c r="A38" s="876">
        <v>18</v>
      </c>
      <c r="B38" s="1345" t="s">
        <v>1908</v>
      </c>
      <c r="C38" s="877">
        <f>SUM(F38:J38)</f>
        <v>2</v>
      </c>
      <c r="D38" s="877"/>
      <c r="E38" s="877"/>
      <c r="F38" s="877"/>
      <c r="G38" s="877"/>
      <c r="H38" s="877">
        <v>2</v>
      </c>
      <c r="I38" s="877"/>
      <c r="J38" s="877"/>
      <c r="K38" s="875"/>
      <c r="L38" s="875"/>
      <c r="M38" s="875"/>
      <c r="N38" s="875"/>
      <c r="O38" s="875"/>
      <c r="P38" s="875">
        <f>100.2+164.3+32.2*2</f>
        <v>328.9</v>
      </c>
      <c r="Q38" s="875"/>
      <c r="R38" s="875"/>
    </row>
    <row r="39" spans="1:18" ht="16.5">
      <c r="A39" s="873" t="s">
        <v>1909</v>
      </c>
      <c r="B39" s="1344" t="s">
        <v>1676</v>
      </c>
      <c r="C39" s="877"/>
      <c r="D39" s="877"/>
      <c r="E39" s="877"/>
      <c r="F39" s="877"/>
      <c r="G39" s="877"/>
      <c r="H39" s="877"/>
      <c r="I39" s="877"/>
      <c r="J39" s="877"/>
      <c r="K39" s="875"/>
      <c r="L39" s="875"/>
      <c r="M39" s="875"/>
      <c r="N39" s="875"/>
      <c r="O39" s="875"/>
      <c r="P39" s="875"/>
      <c r="Q39" s="875"/>
      <c r="R39" s="875"/>
    </row>
    <row r="40" spans="1:18" ht="16.5">
      <c r="A40" s="876">
        <v>19</v>
      </c>
      <c r="B40" s="1345" t="s">
        <v>1910</v>
      </c>
      <c r="C40" s="877">
        <f>SUM(F40:J40)</f>
        <v>1</v>
      </c>
      <c r="D40" s="877"/>
      <c r="E40" s="877"/>
      <c r="F40" s="877"/>
      <c r="G40" s="877"/>
      <c r="H40" s="877">
        <v>1</v>
      </c>
      <c r="I40" s="877"/>
      <c r="J40" s="877"/>
      <c r="K40" s="875"/>
      <c r="L40" s="875"/>
      <c r="M40" s="875"/>
      <c r="N40" s="875"/>
      <c r="O40" s="875"/>
      <c r="P40" s="875">
        <f>101.7+29.5</f>
        <v>131.2</v>
      </c>
      <c r="Q40" s="875"/>
      <c r="R40" s="875"/>
    </row>
    <row r="41" spans="1:18" ht="16.5">
      <c r="A41" s="876">
        <v>20</v>
      </c>
      <c r="B41" s="1345" t="s">
        <v>1911</v>
      </c>
      <c r="C41" s="877">
        <f>SUM(F41:J41)</f>
        <v>1</v>
      </c>
      <c r="D41" s="877"/>
      <c r="E41" s="877"/>
      <c r="F41" s="877"/>
      <c r="G41" s="877"/>
      <c r="H41" s="877">
        <v>1</v>
      </c>
      <c r="I41" s="877"/>
      <c r="J41" s="877"/>
      <c r="K41" s="875"/>
      <c r="L41" s="875"/>
      <c r="M41" s="875"/>
      <c r="N41" s="875"/>
      <c r="O41" s="875"/>
      <c r="P41" s="875">
        <f>126.5+29.5</f>
        <v>156</v>
      </c>
      <c r="Q41" s="875"/>
      <c r="R41" s="875"/>
    </row>
    <row r="42" spans="1:18" ht="16.5">
      <c r="A42" s="876">
        <v>21</v>
      </c>
      <c r="B42" s="1345" t="s">
        <v>1912</v>
      </c>
      <c r="C42" s="877">
        <f>SUM(F42:J42)</f>
        <v>1</v>
      </c>
      <c r="D42" s="877"/>
      <c r="E42" s="877"/>
      <c r="F42" s="877"/>
      <c r="G42" s="877"/>
      <c r="H42" s="877">
        <v>1</v>
      </c>
      <c r="I42" s="877"/>
      <c r="J42" s="877"/>
      <c r="K42" s="875"/>
      <c r="L42" s="875"/>
      <c r="M42" s="875"/>
      <c r="N42" s="875"/>
      <c r="O42" s="875"/>
      <c r="P42" s="875">
        <f>128.8+29.5</f>
        <v>158.3</v>
      </c>
      <c r="Q42" s="875"/>
      <c r="R42" s="875"/>
    </row>
    <row r="43" spans="1:18" ht="16.5">
      <c r="A43" s="873" t="s">
        <v>1913</v>
      </c>
      <c r="B43" s="1344" t="s">
        <v>1914</v>
      </c>
      <c r="C43" s="877"/>
      <c r="D43" s="877"/>
      <c r="E43" s="877"/>
      <c r="F43" s="877"/>
      <c r="G43" s="877"/>
      <c r="H43" s="877"/>
      <c r="I43" s="877"/>
      <c r="J43" s="877"/>
      <c r="K43" s="875"/>
      <c r="L43" s="875"/>
      <c r="M43" s="875"/>
      <c r="N43" s="875"/>
      <c r="O43" s="875"/>
      <c r="P43" s="875"/>
      <c r="Q43" s="875"/>
      <c r="R43" s="875"/>
    </row>
    <row r="44" spans="1:18" ht="16.5">
      <c r="A44" s="876">
        <v>22</v>
      </c>
      <c r="B44" s="1345" t="s">
        <v>1915</v>
      </c>
      <c r="C44" s="877">
        <f>SUM(F44:J44)</f>
        <v>1</v>
      </c>
      <c r="D44" s="877"/>
      <c r="E44" s="877"/>
      <c r="F44" s="877"/>
      <c r="G44" s="877"/>
      <c r="H44" s="877"/>
      <c r="I44" s="877">
        <v>1</v>
      </c>
      <c r="J44" s="877"/>
      <c r="K44" s="875"/>
      <c r="L44" s="875"/>
      <c r="M44" s="875"/>
      <c r="N44" s="875"/>
      <c r="O44" s="875"/>
      <c r="P44" s="875"/>
      <c r="Q44" s="875">
        <v>178.568</v>
      </c>
      <c r="R44" s="875"/>
    </row>
    <row r="45" spans="1:18" ht="16.5">
      <c r="A45" s="876">
        <v>23</v>
      </c>
      <c r="B45" s="1345" t="s">
        <v>1916</v>
      </c>
      <c r="C45" s="877"/>
      <c r="D45" s="877"/>
      <c r="E45" s="877"/>
      <c r="F45" s="877"/>
      <c r="G45" s="877"/>
      <c r="H45" s="877"/>
      <c r="I45" s="877"/>
      <c r="J45" s="877">
        <v>1</v>
      </c>
      <c r="K45" s="875"/>
      <c r="L45" s="875"/>
      <c r="M45" s="875"/>
      <c r="N45" s="875"/>
      <c r="O45" s="875"/>
      <c r="P45" s="875"/>
      <c r="Q45" s="875"/>
      <c r="R45" s="875">
        <v>217.8</v>
      </c>
    </row>
    <row r="46" spans="1:18" ht="16.5">
      <c r="A46" s="873" t="s">
        <v>1917</v>
      </c>
      <c r="B46" s="1344" t="s">
        <v>1662</v>
      </c>
      <c r="C46" s="877"/>
      <c r="D46" s="877"/>
      <c r="E46" s="877"/>
      <c r="F46" s="877"/>
      <c r="G46" s="877"/>
      <c r="H46" s="877"/>
      <c r="I46" s="877"/>
      <c r="J46" s="877"/>
      <c r="K46" s="875"/>
      <c r="L46" s="875"/>
      <c r="M46" s="875"/>
      <c r="N46" s="875"/>
      <c r="O46" s="875"/>
      <c r="P46" s="875"/>
      <c r="Q46" s="875"/>
      <c r="R46" s="875"/>
    </row>
    <row r="47" spans="1:18" ht="16.5">
      <c r="A47" s="876">
        <v>24</v>
      </c>
      <c r="B47" s="1345" t="s">
        <v>1918</v>
      </c>
      <c r="C47" s="877">
        <f>SUM(F47:J47)</f>
        <v>3</v>
      </c>
      <c r="D47" s="877"/>
      <c r="E47" s="877"/>
      <c r="F47" s="877"/>
      <c r="G47" s="877"/>
      <c r="H47" s="877"/>
      <c r="I47" s="877">
        <v>3</v>
      </c>
      <c r="J47" s="877"/>
      <c r="K47" s="875"/>
      <c r="L47" s="875"/>
      <c r="M47" s="875"/>
      <c r="N47" s="875"/>
      <c r="O47" s="875"/>
      <c r="P47" s="875"/>
      <c r="Q47" s="875">
        <f>180.297+285.762+171.243</f>
        <v>637.3019999999999</v>
      </c>
      <c r="R47" s="875"/>
    </row>
    <row r="48" spans="1:18" ht="16.5">
      <c r="A48" s="873" t="s">
        <v>1919</v>
      </c>
      <c r="B48" s="1344" t="s">
        <v>1920</v>
      </c>
      <c r="C48" s="877"/>
      <c r="D48" s="877"/>
      <c r="E48" s="877"/>
      <c r="F48" s="877"/>
      <c r="G48" s="877"/>
      <c r="H48" s="877"/>
      <c r="I48" s="877"/>
      <c r="J48" s="877"/>
      <c r="K48" s="875"/>
      <c r="L48" s="875"/>
      <c r="M48" s="875"/>
      <c r="N48" s="875"/>
      <c r="O48" s="875"/>
      <c r="P48" s="875"/>
      <c r="Q48" s="875"/>
      <c r="R48" s="875"/>
    </row>
    <row r="49" spans="1:18" ht="16.5">
      <c r="A49" s="876">
        <v>25</v>
      </c>
      <c r="B49" s="1345" t="s">
        <v>1921</v>
      </c>
      <c r="C49" s="877">
        <f>SUM(F49:J49)</f>
        <v>2</v>
      </c>
      <c r="D49" s="877"/>
      <c r="E49" s="877"/>
      <c r="F49" s="877"/>
      <c r="G49" s="877"/>
      <c r="H49" s="877"/>
      <c r="I49" s="877">
        <v>2</v>
      </c>
      <c r="J49" s="877"/>
      <c r="K49" s="875"/>
      <c r="L49" s="875"/>
      <c r="M49" s="875"/>
      <c r="N49" s="875"/>
      <c r="O49" s="875"/>
      <c r="P49" s="875"/>
      <c r="Q49" s="875">
        <f>186.345+289.663</f>
        <v>476.00800000000004</v>
      </c>
      <c r="R49" s="875"/>
    </row>
    <row r="50" spans="1:18" ht="16.5">
      <c r="A50" s="873" t="s">
        <v>1922</v>
      </c>
      <c r="B50" s="1344" t="s">
        <v>457</v>
      </c>
      <c r="C50" s="877"/>
      <c r="D50" s="877"/>
      <c r="E50" s="877"/>
      <c r="F50" s="877"/>
      <c r="G50" s="877"/>
      <c r="H50" s="877"/>
      <c r="I50" s="877"/>
      <c r="J50" s="877"/>
      <c r="K50" s="875"/>
      <c r="L50" s="875"/>
      <c r="M50" s="875"/>
      <c r="N50" s="875"/>
      <c r="O50" s="875"/>
      <c r="P50" s="875"/>
      <c r="Q50" s="875"/>
      <c r="R50" s="875"/>
    </row>
    <row r="51" spans="1:18" ht="16.5">
      <c r="A51" s="876">
        <v>26</v>
      </c>
      <c r="B51" s="1345" t="s">
        <v>1923</v>
      </c>
      <c r="C51" s="877">
        <f>SUM(F51:J51)</f>
        <v>1</v>
      </c>
      <c r="D51" s="877"/>
      <c r="E51" s="877"/>
      <c r="F51" s="877"/>
      <c r="G51" s="877"/>
      <c r="H51" s="877"/>
      <c r="I51" s="877">
        <v>1</v>
      </c>
      <c r="J51" s="877"/>
      <c r="K51" s="875"/>
      <c r="L51" s="875"/>
      <c r="M51" s="875"/>
      <c r="N51" s="875"/>
      <c r="O51" s="875"/>
      <c r="P51" s="875"/>
      <c r="Q51" s="875">
        <v>184.86</v>
      </c>
      <c r="R51" s="875"/>
    </row>
    <row r="52" spans="1:18" ht="16.5">
      <c r="A52" s="873" t="s">
        <v>1924</v>
      </c>
      <c r="B52" s="1344" t="s">
        <v>1664</v>
      </c>
      <c r="C52" s="877"/>
      <c r="D52" s="877"/>
      <c r="E52" s="877"/>
      <c r="F52" s="877"/>
      <c r="G52" s="877"/>
      <c r="H52" s="877"/>
      <c r="I52" s="877"/>
      <c r="J52" s="877"/>
      <c r="K52" s="875"/>
      <c r="L52" s="875"/>
      <c r="M52" s="875"/>
      <c r="N52" s="875"/>
      <c r="O52" s="875"/>
      <c r="P52" s="875"/>
      <c r="Q52" s="875"/>
      <c r="R52" s="875"/>
    </row>
    <row r="53" spans="1:18" ht="16.5">
      <c r="A53" s="876">
        <v>27</v>
      </c>
      <c r="B53" s="1345" t="s">
        <v>1925</v>
      </c>
      <c r="C53" s="877">
        <f>SUM(F53:J53)</f>
        <v>1</v>
      </c>
      <c r="D53" s="877"/>
      <c r="E53" s="877"/>
      <c r="F53" s="877"/>
      <c r="G53" s="877"/>
      <c r="H53" s="877"/>
      <c r="I53" s="877">
        <v>1</v>
      </c>
      <c r="J53" s="877"/>
      <c r="K53" s="875"/>
      <c r="L53" s="875"/>
      <c r="M53" s="875"/>
      <c r="N53" s="875"/>
      <c r="O53" s="875"/>
      <c r="P53" s="875"/>
      <c r="Q53" s="875">
        <v>186.422</v>
      </c>
      <c r="R53" s="875"/>
    </row>
    <row r="54" spans="1:18" ht="16.5">
      <c r="A54" s="873" t="s">
        <v>1926</v>
      </c>
      <c r="B54" s="1344" t="s">
        <v>424</v>
      </c>
      <c r="C54" s="877"/>
      <c r="D54" s="877"/>
      <c r="E54" s="877"/>
      <c r="F54" s="877"/>
      <c r="G54" s="877"/>
      <c r="H54" s="877"/>
      <c r="I54" s="877"/>
      <c r="J54" s="877"/>
      <c r="K54" s="875"/>
      <c r="L54" s="875"/>
      <c r="M54" s="875"/>
      <c r="N54" s="875"/>
      <c r="O54" s="875"/>
      <c r="P54" s="875"/>
      <c r="Q54" s="875"/>
      <c r="R54" s="875"/>
    </row>
    <row r="55" spans="1:18" ht="16.5">
      <c r="A55" s="876">
        <v>28</v>
      </c>
      <c r="B55" s="1345" t="s">
        <v>1927</v>
      </c>
      <c r="C55" s="877">
        <f>SUM(F55:J55)</f>
        <v>1</v>
      </c>
      <c r="D55" s="877"/>
      <c r="E55" s="877"/>
      <c r="F55" s="877"/>
      <c r="G55" s="877"/>
      <c r="H55" s="877"/>
      <c r="I55" s="877">
        <v>1</v>
      </c>
      <c r="J55" s="877"/>
      <c r="K55" s="875"/>
      <c r="L55" s="875"/>
      <c r="M55" s="875"/>
      <c r="N55" s="875"/>
      <c r="O55" s="875"/>
      <c r="P55" s="875"/>
      <c r="Q55" s="875">
        <v>175.647</v>
      </c>
      <c r="R55" s="875"/>
    </row>
    <row r="56" spans="1:18" ht="16.5">
      <c r="A56" s="873" t="s">
        <v>1928</v>
      </c>
      <c r="B56" s="1344" t="s">
        <v>1672</v>
      </c>
      <c r="C56" s="877"/>
      <c r="D56" s="877"/>
      <c r="E56" s="877"/>
      <c r="F56" s="877"/>
      <c r="G56" s="877"/>
      <c r="H56" s="877"/>
      <c r="I56" s="877"/>
      <c r="J56" s="877"/>
      <c r="K56" s="875"/>
      <c r="L56" s="875"/>
      <c r="M56" s="875"/>
      <c r="N56" s="875"/>
      <c r="O56" s="875"/>
      <c r="P56" s="875"/>
      <c r="Q56" s="875"/>
      <c r="R56" s="875"/>
    </row>
    <row r="57" spans="1:18" ht="16.5">
      <c r="A57" s="876">
        <v>29</v>
      </c>
      <c r="B57" s="1345" t="s">
        <v>1929</v>
      </c>
      <c r="C57" s="877">
        <f>SUM(F57:J57)</f>
        <v>2</v>
      </c>
      <c r="D57" s="877"/>
      <c r="E57" s="877"/>
      <c r="F57" s="877"/>
      <c r="G57" s="877"/>
      <c r="H57" s="877"/>
      <c r="I57" s="877">
        <v>1</v>
      </c>
      <c r="J57" s="877">
        <v>1</v>
      </c>
      <c r="K57" s="875"/>
      <c r="L57" s="875"/>
      <c r="M57" s="875"/>
      <c r="N57" s="875"/>
      <c r="O57" s="875"/>
      <c r="P57" s="875"/>
      <c r="Q57" s="875">
        <v>286.48</v>
      </c>
      <c r="R57" s="875">
        <v>272.9</v>
      </c>
    </row>
    <row r="58" spans="1:18" ht="16.5">
      <c r="A58" s="873" t="s">
        <v>1930</v>
      </c>
      <c r="B58" s="1344" t="s">
        <v>1668</v>
      </c>
      <c r="C58" s="877"/>
      <c r="D58" s="877"/>
      <c r="E58" s="877"/>
      <c r="F58" s="877"/>
      <c r="G58" s="877"/>
      <c r="H58" s="877"/>
      <c r="I58" s="877"/>
      <c r="J58" s="877"/>
      <c r="K58" s="875"/>
      <c r="L58" s="875"/>
      <c r="M58" s="875"/>
      <c r="N58" s="875"/>
      <c r="O58" s="875"/>
      <c r="P58" s="875"/>
      <c r="Q58" s="875"/>
      <c r="R58" s="875"/>
    </row>
    <row r="59" spans="1:18" ht="16.5">
      <c r="A59" s="876">
        <v>30</v>
      </c>
      <c r="B59" s="1345" t="s">
        <v>1931</v>
      </c>
      <c r="C59" s="877">
        <f>SUM(F59:J59)</f>
        <v>1</v>
      </c>
      <c r="D59" s="877"/>
      <c r="E59" s="877"/>
      <c r="F59" s="877"/>
      <c r="G59" s="877">
        <v>1</v>
      </c>
      <c r="H59" s="877"/>
      <c r="I59" s="877"/>
      <c r="J59" s="877"/>
      <c r="K59" s="875"/>
      <c r="L59" s="875"/>
      <c r="M59" s="875"/>
      <c r="N59" s="875"/>
      <c r="O59" s="875">
        <v>275.2</v>
      </c>
      <c r="P59" s="875"/>
      <c r="Q59" s="875"/>
      <c r="R59" s="875"/>
    </row>
    <row r="60" spans="1:18" ht="16.5">
      <c r="A60" s="873" t="s">
        <v>1932</v>
      </c>
      <c r="B60" s="1344" t="s">
        <v>1933</v>
      </c>
      <c r="C60" s="877"/>
      <c r="D60" s="877"/>
      <c r="E60" s="877"/>
      <c r="F60" s="877"/>
      <c r="G60" s="877"/>
      <c r="H60" s="877"/>
      <c r="I60" s="877"/>
      <c r="J60" s="877"/>
      <c r="K60" s="875"/>
      <c r="L60" s="875"/>
      <c r="M60" s="875"/>
      <c r="N60" s="875"/>
      <c r="O60" s="875"/>
      <c r="P60" s="875"/>
      <c r="Q60" s="875"/>
      <c r="R60" s="875"/>
    </row>
    <row r="61" spans="1:18" ht="16.5">
      <c r="A61" s="876">
        <v>31</v>
      </c>
      <c r="B61" s="1345" t="s">
        <v>1934</v>
      </c>
      <c r="C61" s="877">
        <f>SUM(F61:J61)</f>
        <v>1</v>
      </c>
      <c r="D61" s="877"/>
      <c r="E61" s="877"/>
      <c r="F61" s="877"/>
      <c r="G61" s="877">
        <v>1</v>
      </c>
      <c r="H61" s="877"/>
      <c r="I61" s="877"/>
      <c r="J61" s="877"/>
      <c r="K61" s="875"/>
      <c r="L61" s="875"/>
      <c r="M61" s="875"/>
      <c r="N61" s="875"/>
      <c r="O61" s="875">
        <v>276.8</v>
      </c>
      <c r="P61" s="875"/>
      <c r="Q61" s="875"/>
      <c r="R61" s="875"/>
    </row>
    <row r="62" spans="1:18" ht="16.5">
      <c r="A62" s="873" t="s">
        <v>1935</v>
      </c>
      <c r="B62" s="1344" t="s">
        <v>1659</v>
      </c>
      <c r="C62" s="877"/>
      <c r="D62" s="877"/>
      <c r="E62" s="877"/>
      <c r="F62" s="877"/>
      <c r="G62" s="877"/>
      <c r="H62" s="877"/>
      <c r="I62" s="877"/>
      <c r="J62" s="877"/>
      <c r="K62" s="875"/>
      <c r="L62" s="875"/>
      <c r="M62" s="875"/>
      <c r="N62" s="875"/>
      <c r="O62" s="875"/>
      <c r="P62" s="875"/>
      <c r="Q62" s="875"/>
      <c r="R62" s="875"/>
    </row>
    <row r="63" spans="1:18" ht="16.5">
      <c r="A63" s="876">
        <v>32</v>
      </c>
      <c r="B63" s="1345" t="s">
        <v>1936</v>
      </c>
      <c r="C63" s="877"/>
      <c r="D63" s="877"/>
      <c r="E63" s="877"/>
      <c r="F63" s="877"/>
      <c r="G63" s="877"/>
      <c r="H63" s="877"/>
      <c r="I63" s="877"/>
      <c r="J63" s="877">
        <v>1</v>
      </c>
      <c r="K63" s="875"/>
      <c r="L63" s="875"/>
      <c r="M63" s="875"/>
      <c r="N63" s="875"/>
      <c r="O63" s="875"/>
      <c r="P63" s="875"/>
      <c r="Q63" s="875"/>
      <c r="R63" s="875">
        <v>272.9</v>
      </c>
    </row>
    <row r="64" spans="1:18" ht="16.5">
      <c r="A64" s="873" t="s">
        <v>496</v>
      </c>
      <c r="B64" s="1344" t="s">
        <v>1603</v>
      </c>
      <c r="C64" s="877"/>
      <c r="D64" s="877"/>
      <c r="E64" s="877"/>
      <c r="F64" s="877"/>
      <c r="G64" s="877"/>
      <c r="H64" s="877"/>
      <c r="I64" s="877"/>
      <c r="J64" s="874">
        <f>SUM(J67:J100)</f>
        <v>6</v>
      </c>
      <c r="K64" s="875"/>
      <c r="L64" s="875"/>
      <c r="M64" s="875"/>
      <c r="N64" s="875"/>
      <c r="O64" s="875"/>
      <c r="P64" s="875"/>
      <c r="Q64" s="872">
        <f>SUM(Q66:Q100)</f>
        <v>2180.017</v>
      </c>
      <c r="R64" s="872">
        <v>1395.2000000000003</v>
      </c>
    </row>
    <row r="65" spans="1:18" ht="16.5">
      <c r="A65" s="873" t="s">
        <v>687</v>
      </c>
      <c r="B65" s="1344" t="s">
        <v>1607</v>
      </c>
      <c r="C65" s="877"/>
      <c r="D65" s="877"/>
      <c r="E65" s="877"/>
      <c r="F65" s="877"/>
      <c r="G65" s="877"/>
      <c r="H65" s="877"/>
      <c r="I65" s="877"/>
      <c r="J65" s="877"/>
      <c r="K65" s="875"/>
      <c r="L65" s="875"/>
      <c r="M65" s="875"/>
      <c r="N65" s="875"/>
      <c r="O65" s="875"/>
      <c r="P65" s="875"/>
      <c r="Q65" s="875"/>
      <c r="R65" s="875"/>
    </row>
    <row r="66" spans="1:18" ht="16.5">
      <c r="A66" s="876">
        <v>33</v>
      </c>
      <c r="B66" s="1345" t="s">
        <v>1937</v>
      </c>
      <c r="C66" s="877">
        <f>SUM(F66:J66)</f>
        <v>1</v>
      </c>
      <c r="D66" s="877"/>
      <c r="E66" s="877"/>
      <c r="F66" s="877"/>
      <c r="G66" s="877">
        <v>1</v>
      </c>
      <c r="H66" s="877"/>
      <c r="I66" s="877"/>
      <c r="J66" s="877"/>
      <c r="K66" s="875"/>
      <c r="L66" s="875"/>
      <c r="M66" s="875"/>
      <c r="N66" s="875"/>
      <c r="O66" s="875">
        <v>237</v>
      </c>
      <c r="P66" s="875"/>
      <c r="Q66" s="875"/>
      <c r="R66" s="875"/>
    </row>
    <row r="67" spans="1:18" ht="16.5">
      <c r="A67" s="876">
        <v>34</v>
      </c>
      <c r="B67" s="1345" t="s">
        <v>1938</v>
      </c>
      <c r="C67" s="877">
        <f>SUM(F67:J67)</f>
        <v>1</v>
      </c>
      <c r="D67" s="877"/>
      <c r="E67" s="877"/>
      <c r="F67" s="877"/>
      <c r="G67" s="877"/>
      <c r="H67" s="877"/>
      <c r="I67" s="877">
        <v>1</v>
      </c>
      <c r="J67" s="877"/>
      <c r="K67" s="875"/>
      <c r="L67" s="875"/>
      <c r="M67" s="875"/>
      <c r="N67" s="875"/>
      <c r="O67" s="875"/>
      <c r="P67" s="875"/>
      <c r="Q67" s="875">
        <v>182.1</v>
      </c>
      <c r="R67" s="875"/>
    </row>
    <row r="68" spans="1:18" ht="16.5">
      <c r="A68" s="873" t="s">
        <v>688</v>
      </c>
      <c r="B68" s="1344" t="s">
        <v>1606</v>
      </c>
      <c r="C68" s="877"/>
      <c r="D68" s="877"/>
      <c r="E68" s="877"/>
      <c r="F68" s="877"/>
      <c r="G68" s="877"/>
      <c r="H68" s="877"/>
      <c r="I68" s="877"/>
      <c r="J68" s="877"/>
      <c r="K68" s="875"/>
      <c r="L68" s="875"/>
      <c r="M68" s="875"/>
      <c r="N68" s="875"/>
      <c r="O68" s="875"/>
      <c r="P68" s="875"/>
      <c r="Q68" s="875"/>
      <c r="R68" s="875"/>
    </row>
    <row r="69" spans="1:18" ht="16.5">
      <c r="A69" s="876">
        <v>35</v>
      </c>
      <c r="B69" s="1345" t="s">
        <v>1939</v>
      </c>
      <c r="C69" s="877">
        <f>SUM(F69:J69)</f>
        <v>1</v>
      </c>
      <c r="D69" s="877"/>
      <c r="E69" s="877"/>
      <c r="F69" s="877"/>
      <c r="G69" s="877">
        <v>1</v>
      </c>
      <c r="H69" s="877"/>
      <c r="I69" s="877"/>
      <c r="J69" s="877"/>
      <c r="K69" s="875"/>
      <c r="L69" s="875"/>
      <c r="M69" s="875"/>
      <c r="N69" s="875"/>
      <c r="O69" s="875">
        <v>274.2</v>
      </c>
      <c r="P69" s="875"/>
      <c r="Q69" s="875"/>
      <c r="R69" s="875"/>
    </row>
    <row r="70" spans="1:18" ht="16.5">
      <c r="A70" s="876">
        <v>36</v>
      </c>
      <c r="B70" s="1345" t="s">
        <v>1940</v>
      </c>
      <c r="C70" s="877">
        <f>SUM(F70:J70)</f>
        <v>1</v>
      </c>
      <c r="D70" s="877"/>
      <c r="E70" s="877"/>
      <c r="F70" s="877"/>
      <c r="G70" s="877"/>
      <c r="H70" s="877"/>
      <c r="I70" s="877">
        <v>1</v>
      </c>
      <c r="J70" s="877"/>
      <c r="K70" s="875"/>
      <c r="L70" s="875"/>
      <c r="M70" s="875"/>
      <c r="N70" s="875"/>
      <c r="O70" s="875"/>
      <c r="P70" s="875"/>
      <c r="Q70" s="875">
        <v>190.47</v>
      </c>
      <c r="R70" s="875"/>
    </row>
    <row r="71" spans="1:18" ht="16.5">
      <c r="A71" s="873" t="s">
        <v>689</v>
      </c>
      <c r="B71" s="1344" t="s">
        <v>1605</v>
      </c>
      <c r="C71" s="877"/>
      <c r="D71" s="877"/>
      <c r="E71" s="877"/>
      <c r="F71" s="877"/>
      <c r="G71" s="877"/>
      <c r="H71" s="877"/>
      <c r="I71" s="877"/>
      <c r="J71" s="877"/>
      <c r="K71" s="875"/>
      <c r="L71" s="875"/>
      <c r="M71" s="875"/>
      <c r="N71" s="875"/>
      <c r="O71" s="875"/>
      <c r="P71" s="875"/>
      <c r="Q71" s="875"/>
      <c r="R71" s="875"/>
    </row>
    <row r="72" spans="1:18" ht="16.5">
      <c r="A72" s="876">
        <v>37</v>
      </c>
      <c r="B72" s="1345" t="s">
        <v>1941</v>
      </c>
      <c r="C72" s="877">
        <f>SUM(F72:J72)</f>
        <v>3</v>
      </c>
      <c r="D72" s="877"/>
      <c r="E72" s="877"/>
      <c r="F72" s="877"/>
      <c r="G72" s="877"/>
      <c r="H72" s="877">
        <v>2</v>
      </c>
      <c r="I72" s="877"/>
      <c r="J72" s="877">
        <v>1</v>
      </c>
      <c r="K72" s="875"/>
      <c r="L72" s="875"/>
      <c r="M72" s="875"/>
      <c r="N72" s="875"/>
      <c r="O72" s="875"/>
      <c r="P72" s="875">
        <f>63.3+29.5*2</f>
        <v>122.3</v>
      </c>
      <c r="Q72" s="875"/>
      <c r="R72" s="875">
        <v>224.6</v>
      </c>
    </row>
    <row r="73" spans="1:18" ht="16.5">
      <c r="A73" s="876">
        <v>38</v>
      </c>
      <c r="B73" s="1345" t="s">
        <v>1942</v>
      </c>
      <c r="C73" s="877">
        <f>SUM(F73:J73)</f>
        <v>1</v>
      </c>
      <c r="D73" s="877"/>
      <c r="E73" s="877"/>
      <c r="F73" s="877"/>
      <c r="G73" s="877"/>
      <c r="H73" s="877">
        <v>1</v>
      </c>
      <c r="I73" s="877"/>
      <c r="J73" s="877"/>
      <c r="K73" s="875"/>
      <c r="L73" s="875"/>
      <c r="M73" s="875"/>
      <c r="N73" s="875"/>
      <c r="O73" s="875"/>
      <c r="P73" s="875">
        <f>118.7+29.5</f>
        <v>148.2</v>
      </c>
      <c r="Q73" s="875"/>
      <c r="R73" s="875"/>
    </row>
    <row r="74" spans="1:18" ht="16.5">
      <c r="A74" s="873" t="s">
        <v>1943</v>
      </c>
      <c r="B74" s="1344" t="s">
        <v>1615</v>
      </c>
      <c r="C74" s="877"/>
      <c r="D74" s="877"/>
      <c r="E74" s="877"/>
      <c r="F74" s="877"/>
      <c r="G74" s="877"/>
      <c r="H74" s="877"/>
      <c r="I74" s="877"/>
      <c r="J74" s="877"/>
      <c r="K74" s="875"/>
      <c r="L74" s="875"/>
      <c r="M74" s="875"/>
      <c r="N74" s="875"/>
      <c r="O74" s="875"/>
      <c r="P74" s="875"/>
      <c r="Q74" s="875"/>
      <c r="R74" s="875"/>
    </row>
    <row r="75" spans="1:18" ht="16.5">
      <c r="A75" s="876">
        <v>39</v>
      </c>
      <c r="B75" s="1345" t="s">
        <v>1944</v>
      </c>
      <c r="C75" s="877"/>
      <c r="D75" s="877"/>
      <c r="E75" s="877"/>
      <c r="F75" s="877"/>
      <c r="G75" s="877"/>
      <c r="H75" s="877"/>
      <c r="I75" s="877"/>
      <c r="J75" s="877">
        <v>1</v>
      </c>
      <c r="K75" s="875"/>
      <c r="L75" s="875"/>
      <c r="M75" s="875"/>
      <c r="N75" s="875"/>
      <c r="O75" s="875"/>
      <c r="P75" s="875"/>
      <c r="Q75" s="875"/>
      <c r="R75" s="875">
        <v>224.60000000000002</v>
      </c>
    </row>
    <row r="76" spans="1:18" ht="16.5">
      <c r="A76" s="876">
        <v>40</v>
      </c>
      <c r="B76" s="1345" t="s">
        <v>1945</v>
      </c>
      <c r="C76" s="877">
        <f>SUM(F76:J76)</f>
        <v>2</v>
      </c>
      <c r="D76" s="877"/>
      <c r="E76" s="877"/>
      <c r="F76" s="877"/>
      <c r="G76" s="877"/>
      <c r="H76" s="877"/>
      <c r="I76" s="877">
        <v>1</v>
      </c>
      <c r="J76" s="877">
        <v>1</v>
      </c>
      <c r="K76" s="875"/>
      <c r="L76" s="875"/>
      <c r="M76" s="875"/>
      <c r="N76" s="875"/>
      <c r="O76" s="875"/>
      <c r="P76" s="875"/>
      <c r="Q76" s="875">
        <v>191.66</v>
      </c>
      <c r="R76" s="875">
        <v>224.60000000000002</v>
      </c>
    </row>
    <row r="77" spans="1:18" ht="16.5">
      <c r="A77" s="876">
        <v>41</v>
      </c>
      <c r="B77" s="1345" t="s">
        <v>1946</v>
      </c>
      <c r="C77" s="877">
        <f>SUM(F77:J77)</f>
        <v>2</v>
      </c>
      <c r="D77" s="877"/>
      <c r="E77" s="877"/>
      <c r="F77" s="877"/>
      <c r="G77" s="877"/>
      <c r="H77" s="877">
        <v>2</v>
      </c>
      <c r="I77" s="877"/>
      <c r="J77" s="877"/>
      <c r="K77" s="875"/>
      <c r="L77" s="875"/>
      <c r="M77" s="875"/>
      <c r="N77" s="875"/>
      <c r="O77" s="875"/>
      <c r="P77" s="875">
        <f>177.2+125+29.5*2</f>
        <v>361.2</v>
      </c>
      <c r="Q77" s="875"/>
      <c r="R77" s="875"/>
    </row>
    <row r="78" spans="1:18" ht="16.5">
      <c r="A78" s="873" t="s">
        <v>1947</v>
      </c>
      <c r="B78" s="1344" t="s">
        <v>1617</v>
      </c>
      <c r="C78" s="877"/>
      <c r="D78" s="877"/>
      <c r="E78" s="877"/>
      <c r="F78" s="877"/>
      <c r="G78" s="877"/>
      <c r="H78" s="877"/>
      <c r="I78" s="877"/>
      <c r="J78" s="877"/>
      <c r="K78" s="875"/>
      <c r="L78" s="875"/>
      <c r="M78" s="875"/>
      <c r="N78" s="875"/>
      <c r="O78" s="875"/>
      <c r="P78" s="875"/>
      <c r="Q78" s="875"/>
      <c r="R78" s="875"/>
    </row>
    <row r="79" spans="1:18" ht="16.5">
      <c r="A79" s="876">
        <v>42</v>
      </c>
      <c r="B79" s="1345" t="s">
        <v>1948</v>
      </c>
      <c r="C79" s="877">
        <f>SUM(F79:J79)</f>
        <v>2</v>
      </c>
      <c r="D79" s="877"/>
      <c r="E79" s="877"/>
      <c r="F79" s="877"/>
      <c r="G79" s="877"/>
      <c r="H79" s="877"/>
      <c r="I79" s="877">
        <v>1</v>
      </c>
      <c r="J79" s="877">
        <v>1</v>
      </c>
      <c r="K79" s="875"/>
      <c r="L79" s="875"/>
      <c r="M79" s="875"/>
      <c r="N79" s="875"/>
      <c r="O79" s="875"/>
      <c r="P79" s="875"/>
      <c r="Q79" s="875">
        <v>190.05</v>
      </c>
      <c r="R79" s="875">
        <v>224.60000000000002</v>
      </c>
    </row>
    <row r="80" spans="1:18" ht="16.5">
      <c r="A80" s="876">
        <v>43</v>
      </c>
      <c r="B80" s="1345" t="s">
        <v>1949</v>
      </c>
      <c r="C80" s="877"/>
      <c r="D80" s="877"/>
      <c r="E80" s="877"/>
      <c r="F80" s="877"/>
      <c r="G80" s="877"/>
      <c r="H80" s="877"/>
      <c r="I80" s="877"/>
      <c r="J80" s="877">
        <v>1</v>
      </c>
      <c r="K80" s="875"/>
      <c r="L80" s="875"/>
      <c r="M80" s="875"/>
      <c r="N80" s="875"/>
      <c r="O80" s="875"/>
      <c r="P80" s="875"/>
      <c r="Q80" s="875"/>
      <c r="R80" s="875">
        <v>272.2</v>
      </c>
    </row>
    <row r="81" spans="1:18" ht="16.5">
      <c r="A81" s="873" t="s">
        <v>1950</v>
      </c>
      <c r="B81" s="1344" t="s">
        <v>1616</v>
      </c>
      <c r="C81" s="877"/>
      <c r="D81" s="877"/>
      <c r="E81" s="877"/>
      <c r="F81" s="877"/>
      <c r="G81" s="877"/>
      <c r="H81" s="877"/>
      <c r="I81" s="877"/>
      <c r="J81" s="877"/>
      <c r="K81" s="875"/>
      <c r="L81" s="875"/>
      <c r="M81" s="875"/>
      <c r="N81" s="875"/>
      <c r="O81" s="875"/>
      <c r="P81" s="875"/>
      <c r="Q81" s="875"/>
      <c r="R81" s="875"/>
    </row>
    <row r="82" spans="1:18" ht="16.5">
      <c r="A82" s="876">
        <v>44</v>
      </c>
      <c r="B82" s="1345" t="s">
        <v>1951</v>
      </c>
      <c r="C82" s="877">
        <f>SUM(F82:J82)</f>
        <v>1</v>
      </c>
      <c r="D82" s="877"/>
      <c r="E82" s="877"/>
      <c r="F82" s="877"/>
      <c r="G82" s="877"/>
      <c r="H82" s="877"/>
      <c r="I82" s="877">
        <v>1</v>
      </c>
      <c r="J82" s="877"/>
      <c r="K82" s="875"/>
      <c r="L82" s="875"/>
      <c r="M82" s="875"/>
      <c r="N82" s="875"/>
      <c r="O82" s="875"/>
      <c r="P82" s="875"/>
      <c r="Q82" s="875">
        <v>171.21</v>
      </c>
      <c r="R82" s="875"/>
    </row>
    <row r="83" spans="1:18" ht="16.5">
      <c r="A83" s="876">
        <v>45</v>
      </c>
      <c r="B83" s="1345" t="s">
        <v>1952</v>
      </c>
      <c r="C83" s="877">
        <f>SUM(F83:J83)</f>
        <v>1</v>
      </c>
      <c r="D83" s="877"/>
      <c r="E83" s="877"/>
      <c r="F83" s="877"/>
      <c r="G83" s="877">
        <v>1</v>
      </c>
      <c r="H83" s="877"/>
      <c r="I83" s="877"/>
      <c r="J83" s="877"/>
      <c r="K83" s="875"/>
      <c r="L83" s="875"/>
      <c r="M83" s="875"/>
      <c r="N83" s="875"/>
      <c r="O83" s="875">
        <v>101.8</v>
      </c>
      <c r="P83" s="875"/>
      <c r="Q83" s="875"/>
      <c r="R83" s="875"/>
    </row>
    <row r="84" spans="1:18" ht="16.5">
      <c r="A84" s="873" t="s">
        <v>1953</v>
      </c>
      <c r="B84" s="1344" t="s">
        <v>1954</v>
      </c>
      <c r="C84" s="877"/>
      <c r="D84" s="877"/>
      <c r="E84" s="877"/>
      <c r="F84" s="877"/>
      <c r="G84" s="877"/>
      <c r="H84" s="877"/>
      <c r="I84" s="877"/>
      <c r="J84" s="877"/>
      <c r="K84" s="875"/>
      <c r="L84" s="875"/>
      <c r="M84" s="875"/>
      <c r="N84" s="875"/>
      <c r="O84" s="875"/>
      <c r="P84" s="875"/>
      <c r="Q84" s="875"/>
      <c r="R84" s="875"/>
    </row>
    <row r="85" spans="1:18" ht="16.5">
      <c r="A85" s="876">
        <v>46</v>
      </c>
      <c r="B85" s="1345" t="s">
        <v>1955</v>
      </c>
      <c r="C85" s="877">
        <f>SUM(F85:J85)</f>
        <v>2</v>
      </c>
      <c r="D85" s="877"/>
      <c r="E85" s="877"/>
      <c r="F85" s="877"/>
      <c r="G85" s="877"/>
      <c r="H85" s="877"/>
      <c r="I85" s="877">
        <v>2</v>
      </c>
      <c r="J85" s="877"/>
      <c r="K85" s="875"/>
      <c r="L85" s="875"/>
      <c r="M85" s="875"/>
      <c r="N85" s="875"/>
      <c r="O85" s="875"/>
      <c r="P85" s="875"/>
      <c r="Q85" s="875">
        <f>179.68+196.39</f>
        <v>376.07</v>
      </c>
      <c r="R85" s="875"/>
    </row>
    <row r="86" spans="1:18" ht="16.5">
      <c r="A86" s="873" t="s">
        <v>1956</v>
      </c>
      <c r="B86" s="1344" t="s">
        <v>1609</v>
      </c>
      <c r="C86" s="877"/>
      <c r="D86" s="877"/>
      <c r="E86" s="877"/>
      <c r="F86" s="877"/>
      <c r="G86" s="877"/>
      <c r="H86" s="877"/>
      <c r="I86" s="877"/>
      <c r="J86" s="877"/>
      <c r="K86" s="875"/>
      <c r="L86" s="875"/>
      <c r="M86" s="875"/>
      <c r="N86" s="875"/>
      <c r="O86" s="875"/>
      <c r="P86" s="875"/>
      <c r="Q86" s="875"/>
      <c r="R86" s="875"/>
    </row>
    <row r="87" spans="1:18" ht="16.5">
      <c r="A87" s="876">
        <v>47</v>
      </c>
      <c r="B87" s="1345" t="s">
        <v>1957</v>
      </c>
      <c r="C87" s="877">
        <f>SUM(F87:J87)</f>
        <v>1</v>
      </c>
      <c r="D87" s="877"/>
      <c r="E87" s="877"/>
      <c r="F87" s="877"/>
      <c r="G87" s="877"/>
      <c r="H87" s="877"/>
      <c r="I87" s="877">
        <v>1</v>
      </c>
      <c r="J87" s="877"/>
      <c r="K87" s="875"/>
      <c r="L87" s="875"/>
      <c r="M87" s="875"/>
      <c r="N87" s="875"/>
      <c r="O87" s="875"/>
      <c r="P87" s="875"/>
      <c r="Q87" s="875">
        <v>224.18</v>
      </c>
      <c r="R87" s="875"/>
    </row>
    <row r="88" spans="1:18" ht="16.5">
      <c r="A88" s="876">
        <v>47</v>
      </c>
      <c r="B88" s="1345" t="s">
        <v>1958</v>
      </c>
      <c r="C88" s="877">
        <f>SUM(F88:J88)</f>
        <v>1</v>
      </c>
      <c r="D88" s="877"/>
      <c r="E88" s="877"/>
      <c r="F88" s="877"/>
      <c r="G88" s="877"/>
      <c r="H88" s="877"/>
      <c r="I88" s="877">
        <v>1</v>
      </c>
      <c r="J88" s="877"/>
      <c r="K88" s="875"/>
      <c r="L88" s="875"/>
      <c r="M88" s="875"/>
      <c r="N88" s="875"/>
      <c r="O88" s="875"/>
      <c r="P88" s="875"/>
      <c r="Q88" s="875">
        <v>185.097</v>
      </c>
      <c r="R88" s="875"/>
    </row>
    <row r="89" spans="1:18" ht="16.5">
      <c r="A89" s="873" t="s">
        <v>1959</v>
      </c>
      <c r="B89" s="1344" t="s">
        <v>1960</v>
      </c>
      <c r="C89" s="877"/>
      <c r="D89" s="877"/>
      <c r="E89" s="877"/>
      <c r="F89" s="877"/>
      <c r="G89" s="877"/>
      <c r="H89" s="877"/>
      <c r="I89" s="877"/>
      <c r="J89" s="877"/>
      <c r="K89" s="875"/>
      <c r="L89" s="875"/>
      <c r="M89" s="875"/>
      <c r="N89" s="875"/>
      <c r="O89" s="875"/>
      <c r="P89" s="875"/>
      <c r="Q89" s="875"/>
      <c r="R89" s="875"/>
    </row>
    <row r="90" spans="1:18" ht="16.5">
      <c r="A90" s="876">
        <v>49</v>
      </c>
      <c r="B90" s="1345" t="s">
        <v>1961</v>
      </c>
      <c r="C90" s="877">
        <f>SUM(F90:J90)</f>
        <v>1</v>
      </c>
      <c r="D90" s="877"/>
      <c r="E90" s="877"/>
      <c r="F90" s="877"/>
      <c r="G90" s="877"/>
      <c r="H90" s="877"/>
      <c r="I90" s="877">
        <v>1</v>
      </c>
      <c r="J90" s="877"/>
      <c r="K90" s="875"/>
      <c r="L90" s="875"/>
      <c r="M90" s="875"/>
      <c r="N90" s="875"/>
      <c r="O90" s="875"/>
      <c r="P90" s="875"/>
      <c r="Q90" s="875">
        <v>188.52</v>
      </c>
      <c r="R90" s="875"/>
    </row>
    <row r="91" spans="1:18" ht="16.5">
      <c r="A91" s="873" t="s">
        <v>1962</v>
      </c>
      <c r="B91" s="1344" t="s">
        <v>1612</v>
      </c>
      <c r="C91" s="877"/>
      <c r="D91" s="877"/>
      <c r="E91" s="877"/>
      <c r="F91" s="877"/>
      <c r="G91" s="877"/>
      <c r="H91" s="877"/>
      <c r="I91" s="877"/>
      <c r="J91" s="877"/>
      <c r="K91" s="875"/>
      <c r="L91" s="875"/>
      <c r="M91" s="875"/>
      <c r="N91" s="875"/>
      <c r="O91" s="875"/>
      <c r="P91" s="875"/>
      <c r="Q91" s="875"/>
      <c r="R91" s="875"/>
    </row>
    <row r="92" spans="1:18" ht="16.5">
      <c r="A92" s="876">
        <v>50</v>
      </c>
      <c r="B92" s="1345" t="s">
        <v>1963</v>
      </c>
      <c r="C92" s="877">
        <f>SUM(F92:J92)</f>
        <v>1</v>
      </c>
      <c r="D92" s="877"/>
      <c r="E92" s="877"/>
      <c r="F92" s="877"/>
      <c r="G92" s="877"/>
      <c r="H92" s="877"/>
      <c r="I92" s="877">
        <v>1</v>
      </c>
      <c r="J92" s="877"/>
      <c r="K92" s="875"/>
      <c r="L92" s="875"/>
      <c r="M92" s="875"/>
      <c r="N92" s="875"/>
      <c r="O92" s="875"/>
      <c r="P92" s="875"/>
      <c r="Q92" s="875">
        <v>280.66</v>
      </c>
      <c r="R92" s="875"/>
    </row>
    <row r="93" spans="1:18" ht="16.5">
      <c r="A93" s="873" t="s">
        <v>1964</v>
      </c>
      <c r="B93" s="1344" t="s">
        <v>1610</v>
      </c>
      <c r="C93" s="877"/>
      <c r="D93" s="877"/>
      <c r="E93" s="877"/>
      <c r="F93" s="877"/>
      <c r="G93" s="877"/>
      <c r="H93" s="877"/>
      <c r="I93" s="877"/>
      <c r="J93" s="877"/>
      <c r="K93" s="875"/>
      <c r="L93" s="875"/>
      <c r="M93" s="875"/>
      <c r="N93" s="875"/>
      <c r="O93" s="875"/>
      <c r="P93" s="875"/>
      <c r="Q93" s="875"/>
      <c r="R93" s="875"/>
    </row>
    <row r="94" spans="1:18" ht="16.5">
      <c r="A94" s="876">
        <v>51</v>
      </c>
      <c r="B94" s="1345" t="s">
        <v>1965</v>
      </c>
      <c r="C94" s="877">
        <f>SUM(F94:J94)</f>
        <v>3</v>
      </c>
      <c r="D94" s="877"/>
      <c r="E94" s="877"/>
      <c r="F94" s="877"/>
      <c r="G94" s="877"/>
      <c r="H94" s="877">
        <v>3</v>
      </c>
      <c r="I94" s="877"/>
      <c r="J94" s="877"/>
      <c r="K94" s="875"/>
      <c r="L94" s="875"/>
      <c r="M94" s="875"/>
      <c r="N94" s="875"/>
      <c r="O94" s="875"/>
      <c r="P94" s="875">
        <f>155.757+146.432+144.78</f>
        <v>446.96899999999994</v>
      </c>
      <c r="Q94" s="888"/>
      <c r="R94" s="875"/>
    </row>
    <row r="95" spans="1:18" ht="16.5">
      <c r="A95" s="876">
        <v>52</v>
      </c>
      <c r="B95" s="1345" t="s">
        <v>1966</v>
      </c>
      <c r="C95" s="877">
        <f>SUM(F95:J95)</f>
        <v>1</v>
      </c>
      <c r="D95" s="877"/>
      <c r="E95" s="877"/>
      <c r="F95" s="877"/>
      <c r="G95" s="877"/>
      <c r="H95" s="877">
        <v>1</v>
      </c>
      <c r="I95" s="877"/>
      <c r="J95" s="877"/>
      <c r="K95" s="875"/>
      <c r="L95" s="875"/>
      <c r="M95" s="875"/>
      <c r="N95" s="875"/>
      <c r="O95" s="875"/>
      <c r="P95" s="875">
        <v>155.456</v>
      </c>
      <c r="Q95" s="888"/>
      <c r="R95" s="875"/>
    </row>
    <row r="96" spans="1:18" ht="16.5">
      <c r="A96" s="873" t="s">
        <v>1967</v>
      </c>
      <c r="B96" s="1344" t="s">
        <v>1613</v>
      </c>
      <c r="C96" s="877"/>
      <c r="D96" s="877"/>
      <c r="E96" s="877"/>
      <c r="F96" s="877"/>
      <c r="G96" s="877"/>
      <c r="H96" s="877"/>
      <c r="I96" s="877"/>
      <c r="J96" s="877"/>
      <c r="K96" s="875"/>
      <c r="L96" s="875"/>
      <c r="M96" s="875"/>
      <c r="N96" s="875"/>
      <c r="O96" s="875"/>
      <c r="P96" s="875"/>
      <c r="Q96" s="875"/>
      <c r="R96" s="875"/>
    </row>
    <row r="97" spans="1:18" ht="16.5">
      <c r="A97" s="876">
        <v>53</v>
      </c>
      <c r="B97" s="1345" t="s">
        <v>1968</v>
      </c>
      <c r="C97" s="877">
        <f>SUM(F97:J97)</f>
        <v>1</v>
      </c>
      <c r="D97" s="877"/>
      <c r="E97" s="877"/>
      <c r="F97" s="877"/>
      <c r="G97" s="877">
        <v>1</v>
      </c>
      <c r="H97" s="877"/>
      <c r="I97" s="877"/>
      <c r="J97" s="877"/>
      <c r="K97" s="875"/>
      <c r="L97" s="875"/>
      <c r="M97" s="875"/>
      <c r="N97" s="875"/>
      <c r="O97" s="875">
        <v>139.7</v>
      </c>
      <c r="P97" s="875"/>
      <c r="Q97" s="875"/>
      <c r="R97" s="875"/>
    </row>
    <row r="98" spans="1:18" ht="16.5">
      <c r="A98" s="876">
        <v>54</v>
      </c>
      <c r="B98" s="1345" t="s">
        <v>1969</v>
      </c>
      <c r="C98" s="877">
        <f>SUM(F98:J98)</f>
        <v>1</v>
      </c>
      <c r="D98" s="877"/>
      <c r="E98" s="877"/>
      <c r="F98" s="877"/>
      <c r="G98" s="877">
        <v>1</v>
      </c>
      <c r="H98" s="877"/>
      <c r="I98" s="877"/>
      <c r="J98" s="877"/>
      <c r="K98" s="875"/>
      <c r="L98" s="875"/>
      <c r="M98" s="875"/>
      <c r="N98" s="875"/>
      <c r="O98" s="875">
        <v>147.1</v>
      </c>
      <c r="P98" s="875"/>
      <c r="Q98" s="875"/>
      <c r="R98" s="875"/>
    </row>
    <row r="99" spans="1:18" ht="16.5">
      <c r="A99" s="873" t="s">
        <v>1970</v>
      </c>
      <c r="B99" s="1344" t="s">
        <v>1618</v>
      </c>
      <c r="C99" s="877"/>
      <c r="D99" s="877"/>
      <c r="E99" s="877"/>
      <c r="F99" s="877"/>
      <c r="G99" s="877"/>
      <c r="H99" s="877"/>
      <c r="I99" s="877"/>
      <c r="J99" s="877"/>
      <c r="K99" s="875"/>
      <c r="L99" s="875"/>
      <c r="M99" s="875"/>
      <c r="N99" s="875"/>
      <c r="O99" s="875"/>
      <c r="P99" s="875"/>
      <c r="Q99" s="875"/>
      <c r="R99" s="875"/>
    </row>
    <row r="100" spans="1:18" ht="16.5">
      <c r="A100" s="876">
        <v>55</v>
      </c>
      <c r="B100" s="1345" t="s">
        <v>1971</v>
      </c>
      <c r="C100" s="877"/>
      <c r="D100" s="877"/>
      <c r="E100" s="877"/>
      <c r="F100" s="877"/>
      <c r="G100" s="877"/>
      <c r="H100" s="877"/>
      <c r="I100" s="877"/>
      <c r="J100" s="877">
        <v>1</v>
      </c>
      <c r="K100" s="875"/>
      <c r="L100" s="875"/>
      <c r="M100" s="875"/>
      <c r="N100" s="875"/>
      <c r="O100" s="875"/>
      <c r="P100" s="875"/>
      <c r="Q100" s="875"/>
      <c r="R100" s="875">
        <v>224.60000000000002</v>
      </c>
    </row>
    <row r="101" spans="1:18" ht="16.5">
      <c r="A101" s="873" t="s">
        <v>498</v>
      </c>
      <c r="B101" s="1344" t="s">
        <v>1677</v>
      </c>
      <c r="C101" s="877"/>
      <c r="D101" s="877"/>
      <c r="E101" s="877"/>
      <c r="F101" s="877"/>
      <c r="G101" s="877"/>
      <c r="H101" s="877"/>
      <c r="I101" s="877"/>
      <c r="J101" s="874">
        <f>SUM(J103:J134)</f>
        <v>8</v>
      </c>
      <c r="K101" s="875"/>
      <c r="L101" s="875"/>
      <c r="M101" s="875"/>
      <c r="N101" s="875"/>
      <c r="O101" s="875"/>
      <c r="P101" s="875"/>
      <c r="Q101" s="872">
        <f>SUM(Q103:Q134)</f>
        <v>3162.236</v>
      </c>
      <c r="R101" s="872">
        <v>1858.4750000000001</v>
      </c>
    </row>
    <row r="102" spans="1:18" ht="16.5">
      <c r="A102" s="873" t="s">
        <v>1972</v>
      </c>
      <c r="B102" s="1344" t="s">
        <v>1973</v>
      </c>
      <c r="C102" s="877"/>
      <c r="D102" s="877"/>
      <c r="E102" s="877"/>
      <c r="F102" s="877"/>
      <c r="G102" s="877"/>
      <c r="H102" s="877"/>
      <c r="I102" s="877"/>
      <c r="J102" s="877"/>
      <c r="K102" s="875"/>
      <c r="L102" s="875"/>
      <c r="M102" s="875"/>
      <c r="N102" s="875"/>
      <c r="O102" s="875"/>
      <c r="P102" s="875"/>
      <c r="Q102" s="875"/>
      <c r="R102" s="875"/>
    </row>
    <row r="103" spans="1:18" ht="16.5">
      <c r="A103" s="876">
        <v>56</v>
      </c>
      <c r="B103" s="1345" t="s">
        <v>1974</v>
      </c>
      <c r="C103" s="877">
        <f>SUM(F103:J103)</f>
        <v>2</v>
      </c>
      <c r="D103" s="877"/>
      <c r="E103" s="877"/>
      <c r="F103" s="877"/>
      <c r="G103" s="877"/>
      <c r="H103" s="877">
        <v>1</v>
      </c>
      <c r="I103" s="877"/>
      <c r="J103" s="877">
        <v>1</v>
      </c>
      <c r="K103" s="875"/>
      <c r="L103" s="875"/>
      <c r="M103" s="875"/>
      <c r="N103" s="875"/>
      <c r="O103" s="875"/>
      <c r="P103" s="875">
        <v>150.2</v>
      </c>
      <c r="Q103" s="875"/>
      <c r="R103" s="875">
        <v>234.208</v>
      </c>
    </row>
    <row r="104" spans="1:18" ht="16.5">
      <c r="A104" s="873" t="s">
        <v>1975</v>
      </c>
      <c r="B104" s="1344" t="s">
        <v>1687</v>
      </c>
      <c r="C104" s="877"/>
      <c r="D104" s="877"/>
      <c r="E104" s="877"/>
      <c r="F104" s="877"/>
      <c r="G104" s="877"/>
      <c r="H104" s="877"/>
      <c r="I104" s="877"/>
      <c r="J104" s="877"/>
      <c r="K104" s="875"/>
      <c r="L104" s="875"/>
      <c r="M104" s="875"/>
      <c r="N104" s="875"/>
      <c r="O104" s="875"/>
      <c r="P104" s="875"/>
      <c r="Q104" s="875"/>
      <c r="R104" s="875"/>
    </row>
    <row r="105" spans="1:18" ht="16.5">
      <c r="A105" s="876">
        <v>57</v>
      </c>
      <c r="B105" s="1345" t="s">
        <v>1976</v>
      </c>
      <c r="C105" s="877">
        <f>SUM(F105:J105)</f>
        <v>3</v>
      </c>
      <c r="D105" s="877"/>
      <c r="E105" s="877"/>
      <c r="F105" s="877"/>
      <c r="G105" s="877"/>
      <c r="H105" s="877">
        <v>1</v>
      </c>
      <c r="I105" s="877"/>
      <c r="J105" s="877">
        <v>2</v>
      </c>
      <c r="K105" s="875"/>
      <c r="L105" s="875"/>
      <c r="M105" s="875"/>
      <c r="N105" s="875"/>
      <c r="O105" s="875"/>
      <c r="P105" s="875">
        <v>209.227</v>
      </c>
      <c r="Q105" s="888"/>
      <c r="R105" s="875">
        <v>472.91999999999996</v>
      </c>
    </row>
    <row r="106" spans="1:18" ht="16.5">
      <c r="A106" s="876">
        <v>58</v>
      </c>
      <c r="B106" s="1345" t="s">
        <v>1977</v>
      </c>
      <c r="C106" s="877">
        <f>SUM(F106:J106)</f>
        <v>1</v>
      </c>
      <c r="D106" s="877"/>
      <c r="E106" s="877"/>
      <c r="F106" s="877">
        <v>1</v>
      </c>
      <c r="G106" s="877"/>
      <c r="H106" s="877"/>
      <c r="I106" s="877"/>
      <c r="J106" s="877"/>
      <c r="K106" s="875"/>
      <c r="L106" s="875"/>
      <c r="M106" s="875"/>
      <c r="N106" s="875">
        <v>303.4</v>
      </c>
      <c r="O106" s="875"/>
      <c r="P106" s="875"/>
      <c r="Q106" s="875"/>
      <c r="R106" s="875"/>
    </row>
    <row r="107" spans="1:18" ht="16.5">
      <c r="A107" s="876">
        <v>59</v>
      </c>
      <c r="B107" s="1345" t="s">
        <v>1978</v>
      </c>
      <c r="C107" s="877"/>
      <c r="D107" s="877"/>
      <c r="E107" s="877"/>
      <c r="F107" s="877"/>
      <c r="G107" s="877"/>
      <c r="H107" s="877"/>
      <c r="I107" s="877"/>
      <c r="J107" s="877">
        <v>1</v>
      </c>
      <c r="K107" s="875"/>
      <c r="L107" s="875"/>
      <c r="M107" s="875"/>
      <c r="N107" s="875"/>
      <c r="O107" s="875"/>
      <c r="P107" s="875"/>
      <c r="Q107" s="875"/>
      <c r="R107" s="875">
        <v>214.515</v>
      </c>
    </row>
    <row r="108" spans="1:18" ht="16.5">
      <c r="A108" s="873" t="s">
        <v>1979</v>
      </c>
      <c r="B108" s="1344" t="s">
        <v>1690</v>
      </c>
      <c r="C108" s="877"/>
      <c r="D108" s="877"/>
      <c r="E108" s="877"/>
      <c r="F108" s="877"/>
      <c r="G108" s="877"/>
      <c r="H108" s="877"/>
      <c r="I108" s="877"/>
      <c r="J108" s="877"/>
      <c r="K108" s="875"/>
      <c r="L108" s="875"/>
      <c r="M108" s="875"/>
      <c r="N108" s="875"/>
      <c r="O108" s="875"/>
      <c r="P108" s="875"/>
      <c r="Q108" s="875"/>
      <c r="R108" s="875"/>
    </row>
    <row r="109" spans="1:18" ht="16.5">
      <c r="A109" s="876">
        <v>60</v>
      </c>
      <c r="B109" s="1345" t="s">
        <v>1980</v>
      </c>
      <c r="C109" s="877">
        <f>SUM(F109:J109)</f>
        <v>1</v>
      </c>
      <c r="D109" s="877"/>
      <c r="E109" s="877"/>
      <c r="F109" s="877"/>
      <c r="G109" s="877"/>
      <c r="H109" s="877"/>
      <c r="I109" s="877">
        <v>1</v>
      </c>
      <c r="J109" s="877"/>
      <c r="K109" s="875"/>
      <c r="L109" s="875"/>
      <c r="M109" s="875"/>
      <c r="N109" s="875"/>
      <c r="O109" s="875"/>
      <c r="P109" s="875"/>
      <c r="Q109" s="875">
        <v>199.811</v>
      </c>
      <c r="R109" s="875"/>
    </row>
    <row r="110" spans="1:18" ht="16.5">
      <c r="A110" s="876">
        <v>61</v>
      </c>
      <c r="B110" s="1345" t="s">
        <v>1981</v>
      </c>
      <c r="C110" s="877"/>
      <c r="D110" s="877"/>
      <c r="E110" s="877"/>
      <c r="F110" s="877"/>
      <c r="G110" s="877"/>
      <c r="H110" s="877"/>
      <c r="I110" s="877"/>
      <c r="J110" s="877">
        <v>1</v>
      </c>
      <c r="K110" s="875"/>
      <c r="L110" s="875"/>
      <c r="M110" s="875"/>
      <c r="N110" s="875"/>
      <c r="O110" s="875"/>
      <c r="P110" s="875"/>
      <c r="Q110" s="875"/>
      <c r="R110" s="875">
        <v>234.208</v>
      </c>
    </row>
    <row r="111" spans="1:18" ht="16.5">
      <c r="A111" s="876">
        <v>62</v>
      </c>
      <c r="B111" s="1345" t="s">
        <v>1982</v>
      </c>
      <c r="C111" s="877">
        <f>SUM(F111:J111)</f>
        <v>1</v>
      </c>
      <c r="D111" s="877"/>
      <c r="E111" s="877"/>
      <c r="F111" s="877"/>
      <c r="G111" s="877"/>
      <c r="H111" s="877"/>
      <c r="I111" s="877">
        <v>1</v>
      </c>
      <c r="J111" s="877"/>
      <c r="K111" s="875"/>
      <c r="L111" s="875"/>
      <c r="M111" s="875"/>
      <c r="N111" s="875"/>
      <c r="O111" s="875"/>
      <c r="P111" s="875"/>
      <c r="Q111" s="875">
        <v>163.691</v>
      </c>
      <c r="R111" s="875"/>
    </row>
    <row r="112" spans="1:18" ht="16.5">
      <c r="A112" s="873" t="s">
        <v>1983</v>
      </c>
      <c r="B112" s="1344" t="s">
        <v>380</v>
      </c>
      <c r="C112" s="877"/>
      <c r="D112" s="877"/>
      <c r="E112" s="877"/>
      <c r="F112" s="877"/>
      <c r="G112" s="877"/>
      <c r="H112" s="877"/>
      <c r="I112" s="877"/>
      <c r="J112" s="877"/>
      <c r="K112" s="875"/>
      <c r="L112" s="875"/>
      <c r="M112" s="875"/>
      <c r="N112" s="875"/>
      <c r="O112" s="875"/>
      <c r="P112" s="875"/>
      <c r="Q112" s="875"/>
      <c r="R112" s="875"/>
    </row>
    <row r="113" spans="1:18" ht="16.5">
      <c r="A113" s="876">
        <v>63</v>
      </c>
      <c r="B113" s="1345" t="s">
        <v>1984</v>
      </c>
      <c r="C113" s="877">
        <f>SUM(F113:J113)</f>
        <v>2</v>
      </c>
      <c r="D113" s="877"/>
      <c r="E113" s="877"/>
      <c r="F113" s="877"/>
      <c r="G113" s="877"/>
      <c r="H113" s="877"/>
      <c r="I113" s="877">
        <v>2</v>
      </c>
      <c r="J113" s="877"/>
      <c r="K113" s="875"/>
      <c r="L113" s="875"/>
      <c r="M113" s="875"/>
      <c r="N113" s="875"/>
      <c r="O113" s="875"/>
      <c r="P113" s="875"/>
      <c r="Q113" s="875">
        <f>162.133+183.805</f>
        <v>345.938</v>
      </c>
      <c r="R113" s="875"/>
    </row>
    <row r="114" spans="1:18" ht="16.5">
      <c r="A114" s="873" t="s">
        <v>1985</v>
      </c>
      <c r="B114" s="1344" t="s">
        <v>1681</v>
      </c>
      <c r="C114" s="877"/>
      <c r="D114" s="877"/>
      <c r="E114" s="877"/>
      <c r="F114" s="877"/>
      <c r="G114" s="877"/>
      <c r="H114" s="877"/>
      <c r="I114" s="877"/>
      <c r="J114" s="877"/>
      <c r="K114" s="875"/>
      <c r="L114" s="875"/>
      <c r="M114" s="875"/>
      <c r="N114" s="875"/>
      <c r="O114" s="875"/>
      <c r="P114" s="875"/>
      <c r="Q114" s="875"/>
      <c r="R114" s="875"/>
    </row>
    <row r="115" spans="1:18" ht="16.5">
      <c r="A115" s="876">
        <v>64</v>
      </c>
      <c r="B115" s="1345" t="s">
        <v>1986</v>
      </c>
      <c r="C115" s="877">
        <f>SUM(F115:J115)</f>
        <v>1</v>
      </c>
      <c r="D115" s="877"/>
      <c r="E115" s="877"/>
      <c r="F115" s="877"/>
      <c r="G115" s="877"/>
      <c r="H115" s="877"/>
      <c r="I115" s="877">
        <v>1</v>
      </c>
      <c r="J115" s="877"/>
      <c r="K115" s="875"/>
      <c r="L115" s="875"/>
      <c r="M115" s="875"/>
      <c r="N115" s="875"/>
      <c r="O115" s="875"/>
      <c r="P115" s="875"/>
      <c r="Q115" s="875">
        <v>197.802</v>
      </c>
      <c r="R115" s="875"/>
    </row>
    <row r="116" spans="1:18" ht="16.5">
      <c r="A116" s="876">
        <v>65</v>
      </c>
      <c r="B116" s="1345" t="s">
        <v>1987</v>
      </c>
      <c r="C116" s="877"/>
      <c r="D116" s="877"/>
      <c r="E116" s="877"/>
      <c r="F116" s="877"/>
      <c r="G116" s="877"/>
      <c r="H116" s="877"/>
      <c r="I116" s="877"/>
      <c r="J116" s="877">
        <v>1</v>
      </c>
      <c r="K116" s="875"/>
      <c r="L116" s="875"/>
      <c r="M116" s="875"/>
      <c r="N116" s="875"/>
      <c r="O116" s="875"/>
      <c r="P116" s="875"/>
      <c r="Q116" s="875"/>
      <c r="R116" s="875">
        <v>234.208</v>
      </c>
    </row>
    <row r="117" spans="1:18" ht="16.5">
      <c r="A117" s="873" t="s">
        <v>1988</v>
      </c>
      <c r="B117" s="1344" t="s">
        <v>1685</v>
      </c>
      <c r="C117" s="877"/>
      <c r="D117" s="877"/>
      <c r="E117" s="877"/>
      <c r="F117" s="877"/>
      <c r="G117" s="877"/>
      <c r="H117" s="877"/>
      <c r="I117" s="877"/>
      <c r="J117" s="877"/>
      <c r="K117" s="875"/>
      <c r="L117" s="875"/>
      <c r="M117" s="875"/>
      <c r="N117" s="875"/>
      <c r="O117" s="875"/>
      <c r="P117" s="875"/>
      <c r="Q117" s="875"/>
      <c r="R117" s="875"/>
    </row>
    <row r="118" spans="1:18" ht="16.5">
      <c r="A118" s="876">
        <v>66</v>
      </c>
      <c r="B118" s="1345" t="s">
        <v>1989</v>
      </c>
      <c r="C118" s="877">
        <f>SUM(F118:J118)</f>
        <v>1</v>
      </c>
      <c r="D118" s="877"/>
      <c r="E118" s="877"/>
      <c r="F118" s="877"/>
      <c r="G118" s="877">
        <v>1</v>
      </c>
      <c r="H118" s="877"/>
      <c r="I118" s="877"/>
      <c r="J118" s="877"/>
      <c r="K118" s="875"/>
      <c r="L118" s="875"/>
      <c r="M118" s="875"/>
      <c r="N118" s="875"/>
      <c r="O118" s="875">
        <v>249</v>
      </c>
      <c r="P118" s="875"/>
      <c r="Q118" s="875"/>
      <c r="R118" s="875"/>
    </row>
    <row r="119" spans="1:18" ht="16.5">
      <c r="A119" s="876">
        <v>67</v>
      </c>
      <c r="B119" s="1345" t="s">
        <v>1990</v>
      </c>
      <c r="C119" s="877">
        <f>SUM(F119:J119)</f>
        <v>1</v>
      </c>
      <c r="D119" s="877"/>
      <c r="E119" s="877"/>
      <c r="F119" s="877"/>
      <c r="G119" s="877"/>
      <c r="H119" s="877"/>
      <c r="I119" s="877">
        <v>1</v>
      </c>
      <c r="J119" s="877"/>
      <c r="K119" s="875"/>
      <c r="L119" s="875"/>
      <c r="M119" s="875"/>
      <c r="N119" s="875"/>
      <c r="O119" s="875"/>
      <c r="P119" s="875"/>
      <c r="Q119" s="875">
        <v>268.463</v>
      </c>
      <c r="R119" s="875"/>
    </row>
    <row r="120" spans="1:18" ht="16.5">
      <c r="A120" s="873" t="s">
        <v>1991</v>
      </c>
      <c r="B120" s="1344" t="s">
        <v>1679</v>
      </c>
      <c r="C120" s="877"/>
      <c r="D120" s="877"/>
      <c r="E120" s="877"/>
      <c r="F120" s="877"/>
      <c r="G120" s="877"/>
      <c r="H120" s="877"/>
      <c r="I120" s="877"/>
      <c r="J120" s="877"/>
      <c r="K120" s="875"/>
      <c r="L120" s="875"/>
      <c r="M120" s="875"/>
      <c r="N120" s="875"/>
      <c r="O120" s="875"/>
      <c r="P120" s="875"/>
      <c r="Q120" s="875"/>
      <c r="R120" s="875"/>
    </row>
    <row r="121" spans="1:18" ht="16.5">
      <c r="A121" s="876">
        <v>68</v>
      </c>
      <c r="B121" s="1345" t="s">
        <v>1992</v>
      </c>
      <c r="C121" s="877">
        <f>SUM(F121:J121)</f>
        <v>1</v>
      </c>
      <c r="D121" s="877"/>
      <c r="E121" s="877"/>
      <c r="F121" s="877"/>
      <c r="G121" s="877"/>
      <c r="H121" s="877"/>
      <c r="I121" s="877">
        <v>1</v>
      </c>
      <c r="J121" s="877"/>
      <c r="K121" s="875"/>
      <c r="L121" s="875"/>
      <c r="M121" s="875"/>
      <c r="N121" s="875"/>
      <c r="O121" s="875"/>
      <c r="P121" s="875"/>
      <c r="Q121" s="875">
        <v>262.768</v>
      </c>
      <c r="R121" s="875"/>
    </row>
    <row r="122" spans="1:18" ht="16.5">
      <c r="A122" s="873" t="s">
        <v>1993</v>
      </c>
      <c r="B122" s="1344" t="s">
        <v>1682</v>
      </c>
      <c r="C122" s="877"/>
      <c r="D122" s="877"/>
      <c r="E122" s="877"/>
      <c r="F122" s="877"/>
      <c r="G122" s="877"/>
      <c r="H122" s="877"/>
      <c r="I122" s="877"/>
      <c r="J122" s="877"/>
      <c r="K122" s="875"/>
      <c r="L122" s="875"/>
      <c r="M122" s="875"/>
      <c r="N122" s="875"/>
      <c r="O122" s="875"/>
      <c r="P122" s="875"/>
      <c r="Q122" s="875"/>
      <c r="R122" s="875"/>
    </row>
    <row r="123" spans="1:18" ht="16.5">
      <c r="A123" s="876">
        <v>69</v>
      </c>
      <c r="B123" s="1345" t="s">
        <v>1994</v>
      </c>
      <c r="C123" s="877">
        <f>SUM(F123:J123)</f>
        <v>2</v>
      </c>
      <c r="D123" s="877"/>
      <c r="E123" s="877"/>
      <c r="F123" s="877"/>
      <c r="G123" s="877"/>
      <c r="H123" s="877"/>
      <c r="I123" s="877">
        <v>2</v>
      </c>
      <c r="J123" s="877"/>
      <c r="K123" s="875"/>
      <c r="L123" s="875"/>
      <c r="M123" s="875"/>
      <c r="N123" s="875"/>
      <c r="O123" s="875"/>
      <c r="P123" s="875"/>
      <c r="Q123" s="875">
        <f>218.494+197.948</f>
        <v>416.442</v>
      </c>
      <c r="R123" s="875"/>
    </row>
    <row r="124" spans="1:18" ht="16.5">
      <c r="A124" s="876">
        <v>70</v>
      </c>
      <c r="B124" s="1345" t="s">
        <v>1995</v>
      </c>
      <c r="C124" s="877">
        <f>SUM(F124:J124)</f>
        <v>2</v>
      </c>
      <c r="D124" s="877"/>
      <c r="E124" s="877"/>
      <c r="F124" s="877"/>
      <c r="G124" s="877"/>
      <c r="H124" s="877"/>
      <c r="I124" s="877">
        <v>2</v>
      </c>
      <c r="J124" s="877"/>
      <c r="K124" s="875"/>
      <c r="L124" s="875"/>
      <c r="M124" s="875"/>
      <c r="N124" s="875"/>
      <c r="O124" s="875"/>
      <c r="P124" s="875"/>
      <c r="Q124" s="875">
        <f>265.49+165.649</f>
        <v>431.139</v>
      </c>
      <c r="R124" s="875"/>
    </row>
    <row r="125" spans="1:18" ht="16.5">
      <c r="A125" s="876">
        <v>71</v>
      </c>
      <c r="B125" s="1345" t="s">
        <v>1996</v>
      </c>
      <c r="C125" s="877">
        <f>SUM(F125:J125)</f>
        <v>1</v>
      </c>
      <c r="D125" s="877"/>
      <c r="E125" s="877"/>
      <c r="F125" s="877"/>
      <c r="G125" s="877"/>
      <c r="H125" s="877"/>
      <c r="I125" s="877">
        <v>1</v>
      </c>
      <c r="J125" s="877"/>
      <c r="K125" s="875"/>
      <c r="L125" s="875"/>
      <c r="M125" s="875"/>
      <c r="N125" s="875"/>
      <c r="O125" s="875"/>
      <c r="P125" s="875"/>
      <c r="Q125" s="875">
        <v>166.406</v>
      </c>
      <c r="R125" s="875"/>
    </row>
    <row r="126" spans="1:18" ht="16.5">
      <c r="A126" s="873" t="s">
        <v>1997</v>
      </c>
      <c r="B126" s="1344" t="s">
        <v>1998</v>
      </c>
      <c r="C126" s="877"/>
      <c r="D126" s="877"/>
      <c r="E126" s="877"/>
      <c r="F126" s="877"/>
      <c r="G126" s="877"/>
      <c r="H126" s="877"/>
      <c r="I126" s="877"/>
      <c r="J126" s="877"/>
      <c r="K126" s="875"/>
      <c r="L126" s="875"/>
      <c r="M126" s="875"/>
      <c r="N126" s="875"/>
      <c r="O126" s="875"/>
      <c r="P126" s="875"/>
      <c r="Q126" s="875"/>
      <c r="R126" s="875"/>
    </row>
    <row r="127" spans="1:18" ht="16.5">
      <c r="A127" s="876">
        <v>72</v>
      </c>
      <c r="B127" s="1345" t="s">
        <v>1999</v>
      </c>
      <c r="C127" s="877">
        <f>SUM(F127:J127)</f>
        <v>1</v>
      </c>
      <c r="D127" s="877"/>
      <c r="E127" s="877"/>
      <c r="F127" s="877"/>
      <c r="G127" s="877"/>
      <c r="H127" s="877"/>
      <c r="I127" s="877">
        <v>1</v>
      </c>
      <c r="J127" s="877"/>
      <c r="K127" s="875"/>
      <c r="L127" s="875"/>
      <c r="M127" s="875"/>
      <c r="N127" s="875"/>
      <c r="O127" s="875"/>
      <c r="P127" s="875"/>
      <c r="Q127" s="875">
        <v>178.67</v>
      </c>
      <c r="R127" s="875"/>
    </row>
    <row r="128" spans="1:18" ht="16.5">
      <c r="A128" s="873" t="s">
        <v>2000</v>
      </c>
      <c r="B128" s="1344" t="s">
        <v>1691</v>
      </c>
      <c r="C128" s="877"/>
      <c r="D128" s="877"/>
      <c r="E128" s="877"/>
      <c r="F128" s="877"/>
      <c r="G128" s="877"/>
      <c r="H128" s="877"/>
      <c r="I128" s="877"/>
      <c r="J128" s="877"/>
      <c r="K128" s="875"/>
      <c r="L128" s="875"/>
      <c r="M128" s="875"/>
      <c r="N128" s="875"/>
      <c r="O128" s="875"/>
      <c r="P128" s="875"/>
      <c r="Q128" s="875"/>
      <c r="R128" s="875"/>
    </row>
    <row r="129" spans="1:18" ht="16.5">
      <c r="A129" s="876">
        <v>73</v>
      </c>
      <c r="B129" s="1345" t="s">
        <v>2001</v>
      </c>
      <c r="C129" s="877">
        <f>SUM(F129:J129)</f>
        <v>3</v>
      </c>
      <c r="D129" s="877"/>
      <c r="E129" s="877"/>
      <c r="F129" s="877"/>
      <c r="G129" s="877"/>
      <c r="H129" s="877"/>
      <c r="I129" s="877">
        <v>3</v>
      </c>
      <c r="J129" s="877"/>
      <c r="K129" s="875"/>
      <c r="L129" s="875"/>
      <c r="M129" s="875"/>
      <c r="N129" s="875"/>
      <c r="O129" s="875"/>
      <c r="P129" s="875"/>
      <c r="Q129" s="875">
        <f>176.297+176.598+178.211</f>
        <v>531.106</v>
      </c>
      <c r="R129" s="875"/>
    </row>
    <row r="130" spans="1:18" ht="16.5">
      <c r="A130" s="873" t="s">
        <v>2002</v>
      </c>
      <c r="B130" s="1344" t="s">
        <v>1683</v>
      </c>
      <c r="C130" s="877"/>
      <c r="D130" s="877"/>
      <c r="E130" s="877"/>
      <c r="F130" s="877"/>
      <c r="G130" s="877"/>
      <c r="H130" s="877"/>
      <c r="I130" s="877"/>
      <c r="J130" s="877"/>
      <c r="K130" s="875"/>
      <c r="L130" s="875"/>
      <c r="M130" s="875"/>
      <c r="N130" s="875"/>
      <c r="O130" s="875"/>
      <c r="P130" s="875"/>
      <c r="Q130" s="875"/>
      <c r="R130" s="875"/>
    </row>
    <row r="131" spans="1:18" ht="16.5">
      <c r="A131" s="876">
        <v>74</v>
      </c>
      <c r="B131" s="1345" t="s">
        <v>2003</v>
      </c>
      <c r="C131" s="877">
        <f>SUM(F131:J131)</f>
        <v>1</v>
      </c>
      <c r="D131" s="877"/>
      <c r="E131" s="877"/>
      <c r="F131" s="877"/>
      <c r="G131" s="877">
        <v>1</v>
      </c>
      <c r="H131" s="877"/>
      <c r="I131" s="877"/>
      <c r="J131" s="877"/>
      <c r="K131" s="875"/>
      <c r="L131" s="875"/>
      <c r="M131" s="875"/>
      <c r="N131" s="875"/>
      <c r="O131" s="875">
        <v>184.2</v>
      </c>
      <c r="P131" s="875"/>
      <c r="Q131" s="875"/>
      <c r="R131" s="875"/>
    </row>
    <row r="132" spans="1:18" ht="16.5">
      <c r="A132" s="876">
        <v>75</v>
      </c>
      <c r="B132" s="1345" t="s">
        <v>2004</v>
      </c>
      <c r="C132" s="877"/>
      <c r="D132" s="877"/>
      <c r="E132" s="877"/>
      <c r="F132" s="877"/>
      <c r="G132" s="877"/>
      <c r="H132" s="877"/>
      <c r="I132" s="877"/>
      <c r="J132" s="877">
        <v>1</v>
      </c>
      <c r="K132" s="875"/>
      <c r="L132" s="875"/>
      <c r="M132" s="875"/>
      <c r="N132" s="875"/>
      <c r="O132" s="875"/>
      <c r="P132" s="875"/>
      <c r="Q132" s="875"/>
      <c r="R132" s="875">
        <v>234.208</v>
      </c>
    </row>
    <row r="133" spans="1:18" ht="16.5">
      <c r="A133" s="873" t="s">
        <v>2005</v>
      </c>
      <c r="B133" s="1344" t="s">
        <v>1689</v>
      </c>
      <c r="C133" s="877"/>
      <c r="D133" s="877"/>
      <c r="E133" s="877"/>
      <c r="F133" s="877"/>
      <c r="G133" s="877"/>
      <c r="H133" s="877"/>
      <c r="I133" s="877"/>
      <c r="J133" s="877"/>
      <c r="K133" s="875"/>
      <c r="L133" s="875"/>
      <c r="M133" s="875"/>
      <c r="N133" s="875"/>
      <c r="O133" s="875"/>
      <c r="P133" s="875"/>
      <c r="Q133" s="875"/>
      <c r="R133" s="875"/>
    </row>
    <row r="134" spans="1:18" ht="16.5">
      <c r="A134" s="876">
        <v>76</v>
      </c>
      <c r="B134" s="1345" t="s">
        <v>2006</v>
      </c>
      <c r="C134" s="877"/>
      <c r="D134" s="877"/>
      <c r="E134" s="877"/>
      <c r="F134" s="877"/>
      <c r="G134" s="877"/>
      <c r="H134" s="877"/>
      <c r="I134" s="877"/>
      <c r="J134" s="877">
        <v>1</v>
      </c>
      <c r="K134" s="875"/>
      <c r="L134" s="875"/>
      <c r="M134" s="875"/>
      <c r="N134" s="875"/>
      <c r="O134" s="875"/>
      <c r="P134" s="875"/>
      <c r="Q134" s="875"/>
      <c r="R134" s="875">
        <v>234.208</v>
      </c>
    </row>
    <row r="135" spans="1:18" ht="16.5">
      <c r="A135" s="873" t="s">
        <v>903</v>
      </c>
      <c r="B135" s="1344" t="s">
        <v>1768</v>
      </c>
      <c r="C135" s="877"/>
      <c r="D135" s="877"/>
      <c r="E135" s="877"/>
      <c r="F135" s="877"/>
      <c r="G135" s="877"/>
      <c r="H135" s="877"/>
      <c r="I135" s="877"/>
      <c r="J135" s="874">
        <f>SUM(J139:J159)</f>
        <v>6</v>
      </c>
      <c r="K135" s="875"/>
      <c r="L135" s="875"/>
      <c r="M135" s="875"/>
      <c r="N135" s="875"/>
      <c r="O135" s="875"/>
      <c r="P135" s="875"/>
      <c r="Q135" s="872">
        <f>SUM(Q137:Q159)</f>
        <v>1355.472</v>
      </c>
      <c r="R135" s="872">
        <v>1489.92</v>
      </c>
    </row>
    <row r="136" spans="1:18" ht="16.5">
      <c r="A136" s="873" t="s">
        <v>2007</v>
      </c>
      <c r="B136" s="1344" t="s">
        <v>1596</v>
      </c>
      <c r="C136" s="877"/>
      <c r="D136" s="877"/>
      <c r="E136" s="877"/>
      <c r="F136" s="877"/>
      <c r="G136" s="877"/>
      <c r="H136" s="877"/>
      <c r="I136" s="877"/>
      <c r="J136" s="877"/>
      <c r="K136" s="875"/>
      <c r="L136" s="875"/>
      <c r="M136" s="875"/>
      <c r="N136" s="875"/>
      <c r="O136" s="875"/>
      <c r="P136" s="875"/>
      <c r="Q136" s="875"/>
      <c r="R136" s="875"/>
    </row>
    <row r="137" spans="1:18" ht="16.5">
      <c r="A137" s="876">
        <v>77</v>
      </c>
      <c r="B137" s="1345" t="s">
        <v>2008</v>
      </c>
      <c r="C137" s="877">
        <f>SUM(F137:J137)</f>
        <v>1</v>
      </c>
      <c r="D137" s="877"/>
      <c r="E137" s="877"/>
      <c r="F137" s="877"/>
      <c r="G137" s="877"/>
      <c r="H137" s="877"/>
      <c r="I137" s="877">
        <v>1</v>
      </c>
      <c r="J137" s="877"/>
      <c r="K137" s="875"/>
      <c r="L137" s="875"/>
      <c r="M137" s="875"/>
      <c r="N137" s="875"/>
      <c r="O137" s="875"/>
      <c r="P137" s="875"/>
      <c r="Q137" s="875">
        <v>276.46</v>
      </c>
      <c r="R137" s="875"/>
    </row>
    <row r="138" spans="1:18" ht="16.5">
      <c r="A138" s="876">
        <v>78</v>
      </c>
      <c r="B138" s="1345" t="s">
        <v>2009</v>
      </c>
      <c r="C138" s="877">
        <f>SUM(F138:J138)</f>
        <v>1</v>
      </c>
      <c r="D138" s="877"/>
      <c r="E138" s="877"/>
      <c r="F138" s="877"/>
      <c r="G138" s="877"/>
      <c r="H138" s="877">
        <v>1</v>
      </c>
      <c r="I138" s="877"/>
      <c r="J138" s="877"/>
      <c r="K138" s="875"/>
      <c r="L138" s="875"/>
      <c r="M138" s="875"/>
      <c r="N138" s="875"/>
      <c r="O138" s="875"/>
      <c r="P138" s="875">
        <f>177+32.2</f>
        <v>209.2</v>
      </c>
      <c r="Q138" s="875"/>
      <c r="R138" s="875"/>
    </row>
    <row r="139" spans="1:18" ht="16.5">
      <c r="A139" s="873" t="s">
        <v>2010</v>
      </c>
      <c r="B139" s="1344" t="s">
        <v>1594</v>
      </c>
      <c r="C139" s="877"/>
      <c r="D139" s="877"/>
      <c r="E139" s="877"/>
      <c r="F139" s="877"/>
      <c r="G139" s="877"/>
      <c r="H139" s="877"/>
      <c r="I139" s="877"/>
      <c r="J139" s="877"/>
      <c r="K139" s="875"/>
      <c r="L139" s="875"/>
      <c r="M139" s="875"/>
      <c r="N139" s="875"/>
      <c r="O139" s="875"/>
      <c r="P139" s="875"/>
      <c r="Q139" s="875"/>
      <c r="R139" s="875"/>
    </row>
    <row r="140" spans="1:18" ht="16.5">
      <c r="A140" s="876">
        <v>79</v>
      </c>
      <c r="B140" s="1345" t="s">
        <v>2011</v>
      </c>
      <c r="C140" s="877">
        <f>SUM(F140:J140)</f>
        <v>2</v>
      </c>
      <c r="D140" s="877"/>
      <c r="E140" s="877"/>
      <c r="F140" s="877"/>
      <c r="G140" s="877"/>
      <c r="H140" s="877"/>
      <c r="I140" s="877">
        <v>1</v>
      </c>
      <c r="J140" s="877">
        <v>1</v>
      </c>
      <c r="K140" s="875"/>
      <c r="L140" s="875"/>
      <c r="M140" s="875"/>
      <c r="N140" s="875"/>
      <c r="O140" s="875"/>
      <c r="P140" s="875"/>
      <c r="Q140" s="875">
        <v>178.386</v>
      </c>
      <c r="R140" s="875">
        <v>219.66</v>
      </c>
    </row>
    <row r="141" spans="1:18" ht="16.5">
      <c r="A141" s="876">
        <v>80</v>
      </c>
      <c r="B141" s="1345" t="s">
        <v>2012</v>
      </c>
      <c r="C141" s="877"/>
      <c r="D141" s="877"/>
      <c r="E141" s="877"/>
      <c r="F141" s="877"/>
      <c r="G141" s="877"/>
      <c r="H141" s="877"/>
      <c r="I141" s="877"/>
      <c r="J141" s="877">
        <v>1</v>
      </c>
      <c r="K141" s="875"/>
      <c r="L141" s="875"/>
      <c r="M141" s="875"/>
      <c r="N141" s="875"/>
      <c r="O141" s="875"/>
      <c r="P141" s="875"/>
      <c r="Q141" s="875"/>
      <c r="R141" s="875">
        <v>274.6</v>
      </c>
    </row>
    <row r="142" spans="1:18" ht="16.5">
      <c r="A142" s="873" t="s">
        <v>2013</v>
      </c>
      <c r="B142" s="1344" t="s">
        <v>2014</v>
      </c>
      <c r="C142" s="877"/>
      <c r="D142" s="877"/>
      <c r="E142" s="877"/>
      <c r="F142" s="877"/>
      <c r="G142" s="877"/>
      <c r="H142" s="877"/>
      <c r="I142" s="877"/>
      <c r="J142" s="877"/>
      <c r="K142" s="875"/>
      <c r="L142" s="875"/>
      <c r="M142" s="875"/>
      <c r="N142" s="875"/>
      <c r="O142" s="875"/>
      <c r="P142" s="875"/>
      <c r="Q142" s="875"/>
      <c r="R142" s="875"/>
    </row>
    <row r="143" spans="1:18" ht="16.5">
      <c r="A143" s="876">
        <v>81</v>
      </c>
      <c r="B143" s="1345" t="s">
        <v>2015</v>
      </c>
      <c r="C143" s="877">
        <f>SUM(F143:J143)</f>
        <v>1</v>
      </c>
      <c r="D143" s="877"/>
      <c r="E143" s="877"/>
      <c r="F143" s="877"/>
      <c r="G143" s="877"/>
      <c r="H143" s="877"/>
      <c r="I143" s="877">
        <v>1</v>
      </c>
      <c r="J143" s="877"/>
      <c r="K143" s="875"/>
      <c r="L143" s="875"/>
      <c r="M143" s="875"/>
      <c r="N143" s="875"/>
      <c r="O143" s="875"/>
      <c r="P143" s="875"/>
      <c r="Q143" s="875">
        <v>159.541</v>
      </c>
      <c r="R143" s="875"/>
    </row>
    <row r="144" spans="1:18" ht="16.5">
      <c r="A144" s="876">
        <v>82</v>
      </c>
      <c r="B144" s="1345" t="s">
        <v>2016</v>
      </c>
      <c r="C144" s="877">
        <f>SUM(F144:J144)</f>
        <v>1</v>
      </c>
      <c r="D144" s="877"/>
      <c r="E144" s="877"/>
      <c r="F144" s="877"/>
      <c r="G144" s="877">
        <v>1</v>
      </c>
      <c r="H144" s="877"/>
      <c r="I144" s="877"/>
      <c r="J144" s="877"/>
      <c r="K144" s="875"/>
      <c r="L144" s="875"/>
      <c r="M144" s="875"/>
      <c r="N144" s="875"/>
      <c r="O144" s="875">
        <v>220.6</v>
      </c>
      <c r="P144" s="875"/>
      <c r="Q144" s="875"/>
      <c r="R144" s="875"/>
    </row>
    <row r="145" spans="1:18" ht="16.5">
      <c r="A145" s="876">
        <v>83</v>
      </c>
      <c r="B145" s="1345" t="s">
        <v>2017</v>
      </c>
      <c r="C145" s="877">
        <f>SUM(F145:J145)</f>
        <v>1</v>
      </c>
      <c r="D145" s="877"/>
      <c r="E145" s="877"/>
      <c r="F145" s="877">
        <v>1</v>
      </c>
      <c r="G145" s="877"/>
      <c r="H145" s="877"/>
      <c r="I145" s="877"/>
      <c r="J145" s="877"/>
      <c r="K145" s="875"/>
      <c r="L145" s="875"/>
      <c r="M145" s="875"/>
      <c r="N145" s="875">
        <v>266.3</v>
      </c>
      <c r="O145" s="875"/>
      <c r="P145" s="875"/>
      <c r="Q145" s="875"/>
      <c r="R145" s="875"/>
    </row>
    <row r="146" spans="1:18" ht="16.5">
      <c r="A146" s="873" t="s">
        <v>2018</v>
      </c>
      <c r="B146" s="1344" t="s">
        <v>2019</v>
      </c>
      <c r="C146" s="877"/>
      <c r="D146" s="877"/>
      <c r="E146" s="877"/>
      <c r="F146" s="877"/>
      <c r="G146" s="877"/>
      <c r="H146" s="877"/>
      <c r="I146" s="877"/>
      <c r="J146" s="877"/>
      <c r="K146" s="875"/>
      <c r="L146" s="875"/>
      <c r="M146" s="875"/>
      <c r="N146" s="875"/>
      <c r="O146" s="875"/>
      <c r="P146" s="875"/>
      <c r="Q146" s="875"/>
      <c r="R146" s="875"/>
    </row>
    <row r="147" spans="1:18" ht="16.5">
      <c r="A147" s="876">
        <v>84</v>
      </c>
      <c r="B147" s="1345" t="s">
        <v>2020</v>
      </c>
      <c r="C147" s="877">
        <f>SUM(F147:J147)</f>
        <v>1</v>
      </c>
      <c r="D147" s="877"/>
      <c r="E147" s="877"/>
      <c r="F147" s="877"/>
      <c r="G147" s="877"/>
      <c r="H147" s="877"/>
      <c r="I147" s="877">
        <v>1</v>
      </c>
      <c r="J147" s="877"/>
      <c r="K147" s="875"/>
      <c r="L147" s="875"/>
      <c r="M147" s="875"/>
      <c r="N147" s="875"/>
      <c r="O147" s="875"/>
      <c r="P147" s="875"/>
      <c r="Q147" s="875">
        <v>156.94</v>
      </c>
      <c r="R147" s="875"/>
    </row>
    <row r="148" spans="1:18" ht="16.5">
      <c r="A148" s="876">
        <v>85</v>
      </c>
      <c r="B148" s="1345" t="s">
        <v>2021</v>
      </c>
      <c r="C148" s="877">
        <f>SUM(F148:J148)</f>
        <v>1</v>
      </c>
      <c r="D148" s="877"/>
      <c r="E148" s="877"/>
      <c r="F148" s="877"/>
      <c r="G148" s="877"/>
      <c r="H148" s="877"/>
      <c r="I148" s="877">
        <v>1</v>
      </c>
      <c r="J148" s="877"/>
      <c r="K148" s="875"/>
      <c r="L148" s="875"/>
      <c r="M148" s="875"/>
      <c r="N148" s="875"/>
      <c r="O148" s="875"/>
      <c r="P148" s="875"/>
      <c r="Q148" s="875">
        <v>265.287</v>
      </c>
      <c r="R148" s="875"/>
    </row>
    <row r="149" spans="1:18" ht="16.5">
      <c r="A149" s="876">
        <v>86</v>
      </c>
      <c r="B149" s="1345" t="s">
        <v>2022</v>
      </c>
      <c r="C149" s="877">
        <f>SUM(F149:J149)</f>
        <v>1</v>
      </c>
      <c r="D149" s="877"/>
      <c r="E149" s="877"/>
      <c r="F149" s="877"/>
      <c r="G149" s="877">
        <v>1</v>
      </c>
      <c r="H149" s="877"/>
      <c r="I149" s="877"/>
      <c r="J149" s="877"/>
      <c r="K149" s="875"/>
      <c r="L149" s="875"/>
      <c r="M149" s="875"/>
      <c r="N149" s="875"/>
      <c r="O149" s="875">
        <v>307.8</v>
      </c>
      <c r="P149" s="875"/>
      <c r="Q149" s="875"/>
      <c r="R149" s="875"/>
    </row>
    <row r="150" spans="1:18" ht="16.5">
      <c r="A150" s="873" t="s">
        <v>2023</v>
      </c>
      <c r="B150" s="1344" t="s">
        <v>1602</v>
      </c>
      <c r="C150" s="877"/>
      <c r="D150" s="877"/>
      <c r="E150" s="877"/>
      <c r="F150" s="877"/>
      <c r="G150" s="877"/>
      <c r="H150" s="877"/>
      <c r="I150" s="877"/>
      <c r="J150" s="877"/>
      <c r="K150" s="875"/>
      <c r="L150" s="875"/>
      <c r="M150" s="875"/>
      <c r="N150" s="875"/>
      <c r="O150" s="875"/>
      <c r="P150" s="875"/>
      <c r="Q150" s="875"/>
      <c r="R150" s="875"/>
    </row>
    <row r="151" spans="1:18" ht="16.5">
      <c r="A151" s="876">
        <v>87</v>
      </c>
      <c r="B151" s="1345" t="s">
        <v>2024</v>
      </c>
      <c r="C151" s="877">
        <f>SUM(F151:J151)</f>
        <v>1</v>
      </c>
      <c r="D151" s="877"/>
      <c r="E151" s="877"/>
      <c r="F151" s="877"/>
      <c r="G151" s="877"/>
      <c r="H151" s="877"/>
      <c r="I151" s="877">
        <v>1</v>
      </c>
      <c r="J151" s="877"/>
      <c r="K151" s="875"/>
      <c r="L151" s="875"/>
      <c r="M151" s="875"/>
      <c r="N151" s="875"/>
      <c r="O151" s="875"/>
      <c r="P151" s="875"/>
      <c r="Q151" s="875">
        <v>158.982</v>
      </c>
      <c r="R151" s="875"/>
    </row>
    <row r="152" spans="1:18" ht="16.5">
      <c r="A152" s="876">
        <v>88</v>
      </c>
      <c r="B152" s="1345" t="s">
        <v>2025</v>
      </c>
      <c r="C152" s="877">
        <f>SUM(F152:J152)</f>
        <v>1</v>
      </c>
      <c r="D152" s="877"/>
      <c r="E152" s="877"/>
      <c r="F152" s="877"/>
      <c r="G152" s="877"/>
      <c r="H152" s="877"/>
      <c r="I152" s="877">
        <v>1</v>
      </c>
      <c r="J152" s="877"/>
      <c r="K152" s="875"/>
      <c r="L152" s="875"/>
      <c r="M152" s="875"/>
      <c r="N152" s="875"/>
      <c r="O152" s="875"/>
      <c r="P152" s="875"/>
      <c r="Q152" s="875">
        <v>159.876</v>
      </c>
      <c r="R152" s="875"/>
    </row>
    <row r="153" spans="1:18" ht="16.5">
      <c r="A153" s="873" t="s">
        <v>2026</v>
      </c>
      <c r="B153" s="1344" t="s">
        <v>1599</v>
      </c>
      <c r="C153" s="877"/>
      <c r="D153" s="877"/>
      <c r="E153" s="877"/>
      <c r="F153" s="877"/>
      <c r="G153" s="877"/>
      <c r="H153" s="877"/>
      <c r="I153" s="877"/>
      <c r="J153" s="877"/>
      <c r="K153" s="875"/>
      <c r="L153" s="875"/>
      <c r="M153" s="875"/>
      <c r="N153" s="875"/>
      <c r="O153" s="875"/>
      <c r="P153" s="875"/>
      <c r="Q153" s="875"/>
      <c r="R153" s="875"/>
    </row>
    <row r="154" spans="1:18" ht="16.5">
      <c r="A154" s="876">
        <v>89</v>
      </c>
      <c r="B154" s="1345" t="s">
        <v>2027</v>
      </c>
      <c r="C154" s="877">
        <f>SUM(F154:J154)</f>
        <v>1</v>
      </c>
      <c r="D154" s="877"/>
      <c r="E154" s="877"/>
      <c r="F154" s="877"/>
      <c r="G154" s="877">
        <v>1</v>
      </c>
      <c r="H154" s="877"/>
      <c r="I154" s="877"/>
      <c r="J154" s="877"/>
      <c r="K154" s="875"/>
      <c r="L154" s="875"/>
      <c r="M154" s="875"/>
      <c r="N154" s="875"/>
      <c r="O154" s="875">
        <v>64.6</v>
      </c>
      <c r="P154" s="875"/>
      <c r="Q154" s="875"/>
      <c r="R154" s="875"/>
    </row>
    <row r="155" spans="1:18" ht="16.5">
      <c r="A155" s="876">
        <v>90</v>
      </c>
      <c r="B155" s="1345" t="s">
        <v>2028</v>
      </c>
      <c r="C155" s="877">
        <f>SUM(F155:J155)</f>
        <v>1</v>
      </c>
      <c r="D155" s="877"/>
      <c r="E155" s="877"/>
      <c r="F155" s="877"/>
      <c r="G155" s="877">
        <v>1</v>
      </c>
      <c r="H155" s="877"/>
      <c r="I155" s="877"/>
      <c r="J155" s="877"/>
      <c r="K155" s="875"/>
      <c r="L155" s="875"/>
      <c r="M155" s="875"/>
      <c r="N155" s="875"/>
      <c r="O155" s="875">
        <v>153.9</v>
      </c>
      <c r="P155" s="875"/>
      <c r="Q155" s="875"/>
      <c r="R155" s="875"/>
    </row>
    <row r="156" spans="1:18" ht="16.5">
      <c r="A156" s="873" t="s">
        <v>2029</v>
      </c>
      <c r="B156" s="1344" t="s">
        <v>1595</v>
      </c>
      <c r="C156" s="877"/>
      <c r="D156" s="877"/>
      <c r="E156" s="877"/>
      <c r="F156" s="877"/>
      <c r="G156" s="877"/>
      <c r="H156" s="877"/>
      <c r="I156" s="877"/>
      <c r="J156" s="877"/>
      <c r="K156" s="875"/>
      <c r="L156" s="875"/>
      <c r="M156" s="875"/>
      <c r="N156" s="875"/>
      <c r="O156" s="875"/>
      <c r="P156" s="875"/>
      <c r="Q156" s="875"/>
      <c r="R156" s="875"/>
    </row>
    <row r="157" spans="1:18" ht="16.5">
      <c r="A157" s="876">
        <v>91</v>
      </c>
      <c r="B157" s="1345" t="s">
        <v>2030</v>
      </c>
      <c r="C157" s="877"/>
      <c r="D157" s="877"/>
      <c r="E157" s="877"/>
      <c r="F157" s="877"/>
      <c r="G157" s="877"/>
      <c r="H157" s="877"/>
      <c r="I157" s="877"/>
      <c r="J157" s="877">
        <v>2</v>
      </c>
      <c r="K157" s="875"/>
      <c r="L157" s="875"/>
      <c r="M157" s="875"/>
      <c r="N157" s="875"/>
      <c r="O157" s="875"/>
      <c r="P157" s="875"/>
      <c r="Q157" s="880"/>
      <c r="R157" s="880">
        <v>483.8</v>
      </c>
    </row>
    <row r="158" spans="1:18" ht="16.5">
      <c r="A158" s="873" t="s">
        <v>2031</v>
      </c>
      <c r="B158" s="1344" t="s">
        <v>2032</v>
      </c>
      <c r="C158" s="877"/>
      <c r="D158" s="877"/>
      <c r="E158" s="877"/>
      <c r="F158" s="877"/>
      <c r="G158" s="877"/>
      <c r="H158" s="877"/>
      <c r="I158" s="877"/>
      <c r="J158" s="877"/>
      <c r="K158" s="875"/>
      <c r="L158" s="875"/>
      <c r="M158" s="875"/>
      <c r="N158" s="875"/>
      <c r="O158" s="875"/>
      <c r="P158" s="875"/>
      <c r="Q158" s="875"/>
      <c r="R158" s="875"/>
    </row>
    <row r="159" spans="1:18" ht="16.5">
      <c r="A159" s="876">
        <v>92</v>
      </c>
      <c r="B159" s="1345" t="s">
        <v>2033</v>
      </c>
      <c r="C159" s="877"/>
      <c r="D159" s="877"/>
      <c r="E159" s="877"/>
      <c r="F159" s="877"/>
      <c r="G159" s="877"/>
      <c r="H159" s="877"/>
      <c r="I159" s="877"/>
      <c r="J159" s="877">
        <v>2</v>
      </c>
      <c r="K159" s="875"/>
      <c r="L159" s="875"/>
      <c r="M159" s="875"/>
      <c r="N159" s="875"/>
      <c r="O159" s="875"/>
      <c r="P159" s="875"/>
      <c r="Q159" s="871"/>
      <c r="R159" s="871">
        <v>511.86</v>
      </c>
    </row>
    <row r="160" spans="1:18" ht="16.5">
      <c r="A160" s="873" t="s">
        <v>353</v>
      </c>
      <c r="B160" s="1344" t="s">
        <v>1640</v>
      </c>
      <c r="C160" s="877"/>
      <c r="D160" s="877"/>
      <c r="E160" s="877"/>
      <c r="F160" s="877"/>
      <c r="G160" s="877"/>
      <c r="H160" s="877"/>
      <c r="I160" s="877"/>
      <c r="J160" s="874">
        <f>SUM(J166:J190)</f>
        <v>6</v>
      </c>
      <c r="K160" s="872"/>
      <c r="L160" s="872"/>
      <c r="M160" s="872"/>
      <c r="N160" s="872"/>
      <c r="O160" s="872"/>
      <c r="P160" s="872"/>
      <c r="Q160" s="872">
        <f>SUM(Q162:Q190)</f>
        <v>1778.87</v>
      </c>
      <c r="R160" s="872">
        <v>1510</v>
      </c>
    </row>
    <row r="161" spans="1:18" ht="16.5">
      <c r="A161" s="873" t="s">
        <v>2034</v>
      </c>
      <c r="B161" s="1344" t="s">
        <v>1655</v>
      </c>
      <c r="C161" s="877"/>
      <c r="D161" s="877"/>
      <c r="E161" s="877"/>
      <c r="F161" s="877"/>
      <c r="G161" s="877"/>
      <c r="H161" s="877"/>
      <c r="I161" s="877"/>
      <c r="J161" s="877"/>
      <c r="K161" s="875"/>
      <c r="L161" s="875"/>
      <c r="M161" s="875"/>
      <c r="N161" s="875"/>
      <c r="O161" s="875"/>
      <c r="P161" s="875"/>
      <c r="Q161" s="875"/>
      <c r="R161" s="875"/>
    </row>
    <row r="162" spans="1:18" ht="16.5">
      <c r="A162" s="876">
        <v>93</v>
      </c>
      <c r="B162" s="1345" t="s">
        <v>2035</v>
      </c>
      <c r="C162" s="877">
        <f>SUM(F162:J162)</f>
        <v>1</v>
      </c>
      <c r="D162" s="877"/>
      <c r="E162" s="877"/>
      <c r="F162" s="877"/>
      <c r="G162" s="877"/>
      <c r="H162" s="877">
        <v>1</v>
      </c>
      <c r="I162" s="877"/>
      <c r="J162" s="877"/>
      <c r="K162" s="875"/>
      <c r="L162" s="875"/>
      <c r="M162" s="875"/>
      <c r="N162" s="875"/>
      <c r="O162" s="875"/>
      <c r="P162" s="875">
        <f>20.3+32.2</f>
        <v>52.5</v>
      </c>
      <c r="Q162" s="875"/>
      <c r="R162" s="875"/>
    </row>
    <row r="163" spans="1:18" ht="16.5">
      <c r="A163" s="876">
        <v>94</v>
      </c>
      <c r="B163" s="1345" t="s">
        <v>2036</v>
      </c>
      <c r="C163" s="877">
        <f>SUM(F163:J163)</f>
        <v>2</v>
      </c>
      <c r="D163" s="877"/>
      <c r="E163" s="877"/>
      <c r="F163" s="877"/>
      <c r="G163" s="877"/>
      <c r="H163" s="877">
        <v>2</v>
      </c>
      <c r="I163" s="877"/>
      <c r="J163" s="877"/>
      <c r="K163" s="875"/>
      <c r="L163" s="875"/>
      <c r="M163" s="875"/>
      <c r="N163" s="875"/>
      <c r="O163" s="875"/>
      <c r="P163" s="875">
        <f>124.5+142.8+32.2*2</f>
        <v>331.70000000000005</v>
      </c>
      <c r="Q163" s="875"/>
      <c r="R163" s="875"/>
    </row>
    <row r="164" spans="1:18" ht="16.5">
      <c r="A164" s="873" t="s">
        <v>2037</v>
      </c>
      <c r="B164" s="1344" t="s">
        <v>1652</v>
      </c>
      <c r="C164" s="877"/>
      <c r="D164" s="877"/>
      <c r="E164" s="877"/>
      <c r="F164" s="877"/>
      <c r="G164" s="877"/>
      <c r="H164" s="877"/>
      <c r="I164" s="877"/>
      <c r="J164" s="877"/>
      <c r="K164" s="875"/>
      <c r="L164" s="875"/>
      <c r="M164" s="875"/>
      <c r="N164" s="875"/>
      <c r="O164" s="875"/>
      <c r="P164" s="875"/>
      <c r="Q164" s="875"/>
      <c r="R164" s="875"/>
    </row>
    <row r="165" spans="1:18" ht="16.5">
      <c r="A165" s="876">
        <v>95</v>
      </c>
      <c r="B165" s="1345" t="s">
        <v>2038</v>
      </c>
      <c r="C165" s="877">
        <f>SUM(F165:J165)</f>
        <v>2</v>
      </c>
      <c r="D165" s="877"/>
      <c r="E165" s="877"/>
      <c r="F165" s="877"/>
      <c r="G165" s="877"/>
      <c r="H165" s="877">
        <v>2</v>
      </c>
      <c r="I165" s="877"/>
      <c r="J165" s="877"/>
      <c r="K165" s="875"/>
      <c r="L165" s="875"/>
      <c r="M165" s="875"/>
      <c r="N165" s="875"/>
      <c r="O165" s="875"/>
      <c r="P165" s="875">
        <f>213.736+156.639</f>
        <v>370.375</v>
      </c>
      <c r="Q165" s="888"/>
      <c r="R165" s="875"/>
    </row>
    <row r="166" spans="1:18" ht="16.5">
      <c r="A166" s="873" t="s">
        <v>2039</v>
      </c>
      <c r="B166" s="1344" t="s">
        <v>2040</v>
      </c>
      <c r="C166" s="877"/>
      <c r="D166" s="877"/>
      <c r="E166" s="877"/>
      <c r="F166" s="877"/>
      <c r="G166" s="877"/>
      <c r="H166" s="877"/>
      <c r="I166" s="877"/>
      <c r="J166" s="877"/>
      <c r="K166" s="875"/>
      <c r="L166" s="875"/>
      <c r="M166" s="875"/>
      <c r="N166" s="875"/>
      <c r="O166" s="875"/>
      <c r="P166" s="875"/>
      <c r="Q166" s="875"/>
      <c r="R166" s="875"/>
    </row>
    <row r="167" spans="1:18" ht="16.5">
      <c r="A167" s="876">
        <v>96</v>
      </c>
      <c r="B167" s="1345" t="s">
        <v>2041</v>
      </c>
      <c r="C167" s="877">
        <f>SUM(F167:J167)</f>
        <v>1</v>
      </c>
      <c r="D167" s="877"/>
      <c r="E167" s="877"/>
      <c r="F167" s="877"/>
      <c r="G167" s="877"/>
      <c r="H167" s="877"/>
      <c r="I167" s="877">
        <v>1</v>
      </c>
      <c r="J167" s="877"/>
      <c r="K167" s="875"/>
      <c r="L167" s="875"/>
      <c r="M167" s="875"/>
      <c r="N167" s="875"/>
      <c r="O167" s="875"/>
      <c r="P167" s="875"/>
      <c r="Q167" s="875">
        <v>255.056</v>
      </c>
      <c r="R167" s="875"/>
    </row>
    <row r="168" spans="1:18" ht="16.5">
      <c r="A168" s="876">
        <v>97</v>
      </c>
      <c r="B168" s="1345" t="s">
        <v>2042</v>
      </c>
      <c r="C168" s="877">
        <f>SUM(F168:J168)</f>
        <v>1</v>
      </c>
      <c r="D168" s="877"/>
      <c r="E168" s="877"/>
      <c r="F168" s="877"/>
      <c r="G168" s="877"/>
      <c r="H168" s="877"/>
      <c r="I168" s="877">
        <v>1</v>
      </c>
      <c r="J168" s="877"/>
      <c r="K168" s="875"/>
      <c r="L168" s="875"/>
      <c r="M168" s="875"/>
      <c r="N168" s="875"/>
      <c r="O168" s="875"/>
      <c r="P168" s="875"/>
      <c r="Q168" s="875">
        <v>176.01</v>
      </c>
      <c r="R168" s="875"/>
    </row>
    <row r="169" spans="1:18" ht="16.5">
      <c r="A169" s="873" t="s">
        <v>2043</v>
      </c>
      <c r="B169" s="1344" t="s">
        <v>1643</v>
      </c>
      <c r="C169" s="877"/>
      <c r="D169" s="877"/>
      <c r="E169" s="877"/>
      <c r="F169" s="877"/>
      <c r="G169" s="877"/>
      <c r="H169" s="877"/>
      <c r="I169" s="877"/>
      <c r="J169" s="877"/>
      <c r="K169" s="875"/>
      <c r="L169" s="875"/>
      <c r="M169" s="875"/>
      <c r="N169" s="875"/>
      <c r="O169" s="875"/>
      <c r="P169" s="875"/>
      <c r="Q169" s="875"/>
      <c r="R169" s="875"/>
    </row>
    <row r="170" spans="1:18" ht="16.5">
      <c r="A170" s="876">
        <v>98</v>
      </c>
      <c r="B170" s="1345" t="s">
        <v>2044</v>
      </c>
      <c r="C170" s="877">
        <f>SUM(F170:J170)</f>
        <v>1</v>
      </c>
      <c r="D170" s="877"/>
      <c r="E170" s="877"/>
      <c r="F170" s="877"/>
      <c r="G170" s="877"/>
      <c r="H170" s="877"/>
      <c r="I170" s="877">
        <v>1</v>
      </c>
      <c r="J170" s="877"/>
      <c r="K170" s="875"/>
      <c r="L170" s="875"/>
      <c r="M170" s="875"/>
      <c r="N170" s="875"/>
      <c r="O170" s="875"/>
      <c r="P170" s="875"/>
      <c r="Q170" s="875">
        <v>219.373</v>
      </c>
      <c r="R170" s="875"/>
    </row>
    <row r="171" spans="1:18" ht="16.5">
      <c r="A171" s="873" t="s">
        <v>2045</v>
      </c>
      <c r="B171" s="1344" t="s">
        <v>2046</v>
      </c>
      <c r="C171" s="877"/>
      <c r="D171" s="877"/>
      <c r="E171" s="877"/>
      <c r="F171" s="877"/>
      <c r="G171" s="877"/>
      <c r="H171" s="877"/>
      <c r="I171" s="877"/>
      <c r="J171" s="877"/>
      <c r="K171" s="875"/>
      <c r="L171" s="875"/>
      <c r="M171" s="875"/>
      <c r="N171" s="875"/>
      <c r="O171" s="875"/>
      <c r="P171" s="875"/>
      <c r="Q171" s="875"/>
      <c r="R171" s="875"/>
    </row>
    <row r="172" spans="1:18" ht="16.5">
      <c r="A172" s="876">
        <v>99</v>
      </c>
      <c r="B172" s="1345" t="s">
        <v>2047</v>
      </c>
      <c r="C172" s="877">
        <f>SUM(F172:J172)</f>
        <v>2</v>
      </c>
      <c r="D172" s="877"/>
      <c r="E172" s="877"/>
      <c r="F172" s="877"/>
      <c r="G172" s="877"/>
      <c r="H172" s="877"/>
      <c r="I172" s="877">
        <v>2</v>
      </c>
      <c r="J172" s="877"/>
      <c r="K172" s="875"/>
      <c r="L172" s="875"/>
      <c r="M172" s="875"/>
      <c r="N172" s="875"/>
      <c r="O172" s="875"/>
      <c r="P172" s="875"/>
      <c r="Q172" s="875">
        <f>179.688+215.074</f>
        <v>394.762</v>
      </c>
      <c r="R172" s="875"/>
    </row>
    <row r="173" spans="1:18" ht="16.5">
      <c r="A173" s="876">
        <v>100</v>
      </c>
      <c r="B173" s="1345" t="s">
        <v>2048</v>
      </c>
      <c r="C173" s="877">
        <f>SUM(F173:J173)</f>
        <v>2</v>
      </c>
      <c r="D173" s="877"/>
      <c r="E173" s="877"/>
      <c r="F173" s="877"/>
      <c r="G173" s="877">
        <v>1</v>
      </c>
      <c r="H173" s="877"/>
      <c r="I173" s="877">
        <v>1</v>
      </c>
      <c r="J173" s="877"/>
      <c r="K173" s="875"/>
      <c r="L173" s="875"/>
      <c r="M173" s="875"/>
      <c r="N173" s="875"/>
      <c r="O173" s="875">
        <v>305.1</v>
      </c>
      <c r="P173" s="875"/>
      <c r="Q173" s="875">
        <v>188.274</v>
      </c>
      <c r="R173" s="875"/>
    </row>
    <row r="174" spans="1:18" ht="16.5">
      <c r="A174" s="873" t="s">
        <v>2049</v>
      </c>
      <c r="B174" s="1344" t="s">
        <v>1646</v>
      </c>
      <c r="C174" s="877"/>
      <c r="D174" s="877"/>
      <c r="E174" s="877"/>
      <c r="F174" s="877"/>
      <c r="G174" s="877"/>
      <c r="H174" s="877"/>
      <c r="I174" s="877"/>
      <c r="J174" s="877"/>
      <c r="K174" s="875"/>
      <c r="L174" s="875"/>
      <c r="M174" s="875"/>
      <c r="N174" s="875"/>
      <c r="O174" s="875"/>
      <c r="P174" s="875"/>
      <c r="Q174" s="875"/>
      <c r="R174" s="875"/>
    </row>
    <row r="175" spans="1:18" ht="16.5">
      <c r="A175" s="876">
        <v>101</v>
      </c>
      <c r="B175" s="1345" t="s">
        <v>2050</v>
      </c>
      <c r="C175" s="877">
        <f>SUM(F175:J175)</f>
        <v>2</v>
      </c>
      <c r="D175" s="877"/>
      <c r="E175" s="877"/>
      <c r="F175" s="877"/>
      <c r="G175" s="877"/>
      <c r="H175" s="877"/>
      <c r="I175" s="877">
        <v>1</v>
      </c>
      <c r="J175" s="877">
        <v>1</v>
      </c>
      <c r="K175" s="875"/>
      <c r="L175" s="875"/>
      <c r="M175" s="875"/>
      <c r="N175" s="875"/>
      <c r="O175" s="875"/>
      <c r="P175" s="875"/>
      <c r="Q175" s="875">
        <v>172.931</v>
      </c>
      <c r="R175" s="875">
        <v>222.705</v>
      </c>
    </row>
    <row r="176" spans="1:18" ht="16.5">
      <c r="A176" s="873" t="s">
        <v>2051</v>
      </c>
      <c r="B176" s="1344" t="s">
        <v>1654</v>
      </c>
      <c r="C176" s="877"/>
      <c r="D176" s="877"/>
      <c r="E176" s="877"/>
      <c r="F176" s="877"/>
      <c r="G176" s="877"/>
      <c r="H176" s="877"/>
      <c r="I176" s="877"/>
      <c r="J176" s="877"/>
      <c r="K176" s="875"/>
      <c r="L176" s="875"/>
      <c r="M176" s="875"/>
      <c r="N176" s="875"/>
      <c r="O176" s="875"/>
      <c r="P176" s="875"/>
      <c r="Q176" s="875"/>
      <c r="R176" s="875"/>
    </row>
    <row r="177" spans="1:18" ht="16.5">
      <c r="A177" s="876">
        <v>102</v>
      </c>
      <c r="B177" s="1345" t="s">
        <v>2052</v>
      </c>
      <c r="C177" s="877">
        <f>SUM(F177:J177)</f>
        <v>1</v>
      </c>
      <c r="D177" s="877"/>
      <c r="E177" s="877"/>
      <c r="F177" s="877"/>
      <c r="G177" s="877"/>
      <c r="H177" s="877"/>
      <c r="I177" s="877">
        <v>1</v>
      </c>
      <c r="J177" s="877"/>
      <c r="K177" s="875"/>
      <c r="L177" s="875"/>
      <c r="M177" s="875"/>
      <c r="N177" s="875"/>
      <c r="O177" s="875"/>
      <c r="P177" s="875"/>
      <c r="Q177" s="875">
        <v>201.673</v>
      </c>
      <c r="R177" s="875"/>
    </row>
    <row r="178" spans="1:18" ht="16.5">
      <c r="A178" s="876">
        <v>103</v>
      </c>
      <c r="B178" s="1345" t="s">
        <v>2053</v>
      </c>
      <c r="C178" s="877">
        <f>SUM(F178:J178)</f>
        <v>2</v>
      </c>
      <c r="D178" s="877"/>
      <c r="E178" s="877"/>
      <c r="F178" s="877"/>
      <c r="G178" s="877"/>
      <c r="H178" s="877"/>
      <c r="I178" s="877">
        <v>1</v>
      </c>
      <c r="J178" s="877">
        <v>1</v>
      </c>
      <c r="K178" s="875"/>
      <c r="L178" s="875"/>
      <c r="M178" s="875"/>
      <c r="N178" s="875"/>
      <c r="O178" s="875"/>
      <c r="P178" s="875"/>
      <c r="Q178" s="875">
        <v>170.791</v>
      </c>
      <c r="R178" s="875">
        <v>263.13</v>
      </c>
    </row>
    <row r="179" spans="1:18" ht="16.5">
      <c r="A179" s="876">
        <v>104</v>
      </c>
      <c r="B179" s="1345" t="s">
        <v>2054</v>
      </c>
      <c r="C179" s="877"/>
      <c r="D179" s="877"/>
      <c r="E179" s="877"/>
      <c r="F179" s="877"/>
      <c r="G179" s="877"/>
      <c r="H179" s="877"/>
      <c r="I179" s="877"/>
      <c r="J179" s="877">
        <v>1</v>
      </c>
      <c r="K179" s="875"/>
      <c r="L179" s="875"/>
      <c r="M179" s="875"/>
      <c r="N179" s="875"/>
      <c r="O179" s="875"/>
      <c r="P179" s="875"/>
      <c r="Q179" s="875"/>
      <c r="R179" s="875">
        <v>263.13</v>
      </c>
    </row>
    <row r="180" spans="1:18" ht="16.5">
      <c r="A180" s="873" t="s">
        <v>2055</v>
      </c>
      <c r="B180" s="1344" t="s">
        <v>1645</v>
      </c>
      <c r="C180" s="877"/>
      <c r="D180" s="877"/>
      <c r="E180" s="877"/>
      <c r="F180" s="877"/>
      <c r="G180" s="877"/>
      <c r="H180" s="877"/>
      <c r="I180" s="877"/>
      <c r="J180" s="877"/>
      <c r="K180" s="875"/>
      <c r="L180" s="875"/>
      <c r="M180" s="875"/>
      <c r="N180" s="875"/>
      <c r="O180" s="875"/>
      <c r="P180" s="875"/>
      <c r="Q180" s="875"/>
      <c r="R180" s="875"/>
    </row>
    <row r="181" spans="1:18" ht="16.5">
      <c r="A181" s="876">
        <v>105</v>
      </c>
      <c r="B181" s="1345" t="s">
        <v>2056</v>
      </c>
      <c r="C181" s="877">
        <f>SUM(F181:J181)</f>
        <v>1</v>
      </c>
      <c r="D181" s="877"/>
      <c r="E181" s="877"/>
      <c r="F181" s="877">
        <v>1</v>
      </c>
      <c r="G181" s="877"/>
      <c r="H181" s="877"/>
      <c r="I181" s="877"/>
      <c r="J181" s="877"/>
      <c r="K181" s="875"/>
      <c r="L181" s="875"/>
      <c r="M181" s="875"/>
      <c r="N181" s="875">
        <v>274.9</v>
      </c>
      <c r="O181" s="875"/>
      <c r="P181" s="875">
        <f>177.4+34.7</f>
        <v>212.10000000000002</v>
      </c>
      <c r="Q181" s="875"/>
      <c r="R181" s="875"/>
    </row>
    <row r="182" spans="1:18" ht="16.5">
      <c r="A182" s="873" t="s">
        <v>2057</v>
      </c>
      <c r="B182" s="1344" t="s">
        <v>2058</v>
      </c>
      <c r="C182" s="877"/>
      <c r="D182" s="877"/>
      <c r="E182" s="877"/>
      <c r="F182" s="877"/>
      <c r="G182" s="877"/>
      <c r="H182" s="877"/>
      <c r="I182" s="877"/>
      <c r="J182" s="877"/>
      <c r="K182" s="875"/>
      <c r="L182" s="875"/>
      <c r="M182" s="875"/>
      <c r="N182" s="875"/>
      <c r="O182" s="875"/>
      <c r="P182" s="875"/>
      <c r="Q182" s="875"/>
      <c r="R182" s="875"/>
    </row>
    <row r="183" spans="1:18" ht="16.5">
      <c r="A183" s="876">
        <v>106</v>
      </c>
      <c r="B183" s="1345" t="s">
        <v>2059</v>
      </c>
      <c r="C183" s="877">
        <f>SUM(F183:J183)</f>
        <v>1</v>
      </c>
      <c r="D183" s="877"/>
      <c r="E183" s="877"/>
      <c r="F183" s="877"/>
      <c r="G183" s="877">
        <v>1</v>
      </c>
      <c r="H183" s="877"/>
      <c r="I183" s="877"/>
      <c r="J183" s="877"/>
      <c r="K183" s="875"/>
      <c r="L183" s="875"/>
      <c r="M183" s="875"/>
      <c r="N183" s="875"/>
      <c r="O183" s="875">
        <v>150.5</v>
      </c>
      <c r="P183" s="875"/>
      <c r="Q183" s="875"/>
      <c r="R183" s="875"/>
    </row>
    <row r="184" spans="1:18" ht="16.5">
      <c r="A184" s="873" t="s">
        <v>2060</v>
      </c>
      <c r="B184" s="1344" t="s">
        <v>2061</v>
      </c>
      <c r="C184" s="877"/>
      <c r="D184" s="877"/>
      <c r="E184" s="877"/>
      <c r="F184" s="877"/>
      <c r="G184" s="877"/>
      <c r="H184" s="877"/>
      <c r="I184" s="877"/>
      <c r="J184" s="877"/>
      <c r="K184" s="875"/>
      <c r="L184" s="875"/>
      <c r="M184" s="875"/>
      <c r="N184" s="875"/>
      <c r="O184" s="875"/>
      <c r="P184" s="875"/>
      <c r="Q184" s="875"/>
      <c r="R184" s="875"/>
    </row>
    <row r="185" spans="1:18" ht="16.5">
      <c r="A185" s="876">
        <v>107</v>
      </c>
      <c r="B185" s="1345" t="s">
        <v>2062</v>
      </c>
      <c r="C185" s="877">
        <f>SUM(F185:J185)</f>
        <v>1</v>
      </c>
      <c r="D185" s="877"/>
      <c r="E185" s="877"/>
      <c r="F185" s="877"/>
      <c r="G185" s="877">
        <v>1</v>
      </c>
      <c r="H185" s="877"/>
      <c r="I185" s="877"/>
      <c r="J185" s="877"/>
      <c r="K185" s="875"/>
      <c r="L185" s="875"/>
      <c r="M185" s="875"/>
      <c r="N185" s="875"/>
      <c r="O185" s="875">
        <v>271.8</v>
      </c>
      <c r="P185" s="875"/>
      <c r="Q185" s="875"/>
      <c r="R185" s="875"/>
    </row>
    <row r="186" spans="1:18" ht="16.5">
      <c r="A186" s="873" t="s">
        <v>2063</v>
      </c>
      <c r="B186" s="1344" t="s">
        <v>1653</v>
      </c>
      <c r="C186" s="877"/>
      <c r="D186" s="877"/>
      <c r="E186" s="877"/>
      <c r="F186" s="877"/>
      <c r="G186" s="877"/>
      <c r="H186" s="877"/>
      <c r="I186" s="877"/>
      <c r="J186" s="877"/>
      <c r="K186" s="875"/>
      <c r="L186" s="875"/>
      <c r="M186" s="875"/>
      <c r="N186" s="875"/>
      <c r="O186" s="875"/>
      <c r="P186" s="875"/>
      <c r="Q186" s="875"/>
      <c r="R186" s="875"/>
    </row>
    <row r="187" spans="1:18" ht="16.5">
      <c r="A187" s="876">
        <v>108</v>
      </c>
      <c r="B187" s="1345" t="s">
        <v>2064</v>
      </c>
      <c r="C187" s="877"/>
      <c r="D187" s="877"/>
      <c r="E187" s="877"/>
      <c r="F187" s="877"/>
      <c r="G187" s="877"/>
      <c r="H187" s="877"/>
      <c r="I187" s="877"/>
      <c r="J187" s="877">
        <v>1</v>
      </c>
      <c r="K187" s="875"/>
      <c r="L187" s="875"/>
      <c r="M187" s="875"/>
      <c r="N187" s="875"/>
      <c r="O187" s="875"/>
      <c r="P187" s="875"/>
      <c r="Q187" s="875"/>
      <c r="R187" s="875">
        <v>263.13</v>
      </c>
    </row>
    <row r="188" spans="1:18" ht="16.5">
      <c r="A188" s="873" t="s">
        <v>2065</v>
      </c>
      <c r="B188" s="1344" t="s">
        <v>2066</v>
      </c>
      <c r="C188" s="877"/>
      <c r="D188" s="877"/>
      <c r="E188" s="877"/>
      <c r="F188" s="877"/>
      <c r="G188" s="877"/>
      <c r="H188" s="877"/>
      <c r="I188" s="877"/>
      <c r="J188" s="877"/>
      <c r="K188" s="875"/>
      <c r="L188" s="875"/>
      <c r="M188" s="875"/>
      <c r="N188" s="875"/>
      <c r="O188" s="875"/>
      <c r="P188" s="875"/>
      <c r="Q188" s="875"/>
      <c r="R188" s="875"/>
    </row>
    <row r="189" spans="1:18" ht="16.5">
      <c r="A189" s="876">
        <v>109</v>
      </c>
      <c r="B189" s="1345" t="s">
        <v>2067</v>
      </c>
      <c r="C189" s="877"/>
      <c r="D189" s="877"/>
      <c r="E189" s="877"/>
      <c r="F189" s="877"/>
      <c r="G189" s="877"/>
      <c r="H189" s="877"/>
      <c r="I189" s="877"/>
      <c r="J189" s="877">
        <v>1</v>
      </c>
      <c r="K189" s="875"/>
      <c r="L189" s="875"/>
      <c r="M189" s="875"/>
      <c r="N189" s="875"/>
      <c r="O189" s="875"/>
      <c r="P189" s="875"/>
      <c r="Q189" s="875"/>
      <c r="R189" s="875">
        <v>275.2</v>
      </c>
    </row>
    <row r="190" spans="1:18" ht="16.5">
      <c r="A190" s="876">
        <v>110</v>
      </c>
      <c r="B190" s="1345" t="s">
        <v>2068</v>
      </c>
      <c r="C190" s="877"/>
      <c r="D190" s="877"/>
      <c r="E190" s="877"/>
      <c r="F190" s="877"/>
      <c r="G190" s="877"/>
      <c r="H190" s="877"/>
      <c r="I190" s="877"/>
      <c r="J190" s="877">
        <v>1</v>
      </c>
      <c r="K190" s="875"/>
      <c r="L190" s="875"/>
      <c r="M190" s="875"/>
      <c r="N190" s="875"/>
      <c r="O190" s="875"/>
      <c r="P190" s="875"/>
      <c r="Q190" s="875"/>
      <c r="R190" s="875">
        <v>222.705</v>
      </c>
    </row>
    <row r="191" spans="1:18" ht="16.5">
      <c r="A191" s="873" t="s">
        <v>369</v>
      </c>
      <c r="B191" s="1344" t="s">
        <v>2069</v>
      </c>
      <c r="C191" s="877"/>
      <c r="D191" s="877"/>
      <c r="E191" s="877"/>
      <c r="F191" s="877"/>
      <c r="G191" s="877"/>
      <c r="H191" s="877"/>
      <c r="I191" s="877"/>
      <c r="J191" s="874">
        <f>SUM(J194:J213)</f>
        <v>6</v>
      </c>
      <c r="K191" s="872"/>
      <c r="L191" s="872"/>
      <c r="M191" s="872"/>
      <c r="N191" s="872"/>
      <c r="O191" s="872"/>
      <c r="P191" s="872"/>
      <c r="Q191" s="872">
        <f>SUM(Q192:Q216)</f>
        <v>2089</v>
      </c>
      <c r="R191" s="872">
        <v>1841</v>
      </c>
    </row>
    <row r="192" spans="1:18" ht="16.5">
      <c r="A192" s="873" t="s">
        <v>2070</v>
      </c>
      <c r="B192" s="1344" t="s">
        <v>1630</v>
      </c>
      <c r="C192" s="877"/>
      <c r="D192" s="877"/>
      <c r="E192" s="877"/>
      <c r="F192" s="877"/>
      <c r="G192" s="877"/>
      <c r="H192" s="877"/>
      <c r="I192" s="877"/>
      <c r="J192" s="877"/>
      <c r="K192" s="875"/>
      <c r="L192" s="875"/>
      <c r="M192" s="875"/>
      <c r="N192" s="875"/>
      <c r="O192" s="875"/>
      <c r="P192" s="875"/>
      <c r="Q192" s="875"/>
      <c r="R192" s="875"/>
    </row>
    <row r="193" spans="1:18" ht="16.5">
      <c r="A193" s="876">
        <v>111</v>
      </c>
      <c r="B193" s="1345" t="s">
        <v>2071</v>
      </c>
      <c r="C193" s="877">
        <f>SUM(F193:J193)</f>
        <v>1</v>
      </c>
      <c r="D193" s="877"/>
      <c r="E193" s="877"/>
      <c r="F193" s="877"/>
      <c r="G193" s="877"/>
      <c r="H193" s="877"/>
      <c r="I193" s="877">
        <v>1</v>
      </c>
      <c r="J193" s="877"/>
      <c r="K193" s="875"/>
      <c r="L193" s="875"/>
      <c r="M193" s="875"/>
      <c r="N193" s="875"/>
      <c r="O193" s="875"/>
      <c r="P193" s="875"/>
      <c r="Q193" s="875">
        <f>163.8+39.2</f>
        <v>203</v>
      </c>
      <c r="R193" s="875"/>
    </row>
    <row r="194" spans="1:18" ht="16.5">
      <c r="A194" s="876">
        <v>112</v>
      </c>
      <c r="B194" s="1345" t="s">
        <v>2072</v>
      </c>
      <c r="C194" s="877">
        <f>SUM(F194:J194)</f>
        <v>3</v>
      </c>
      <c r="D194" s="877"/>
      <c r="E194" s="877"/>
      <c r="F194" s="877"/>
      <c r="G194" s="877">
        <v>2</v>
      </c>
      <c r="H194" s="877"/>
      <c r="I194" s="877">
        <v>1</v>
      </c>
      <c r="J194" s="877"/>
      <c r="K194" s="875"/>
      <c r="L194" s="875"/>
      <c r="M194" s="875"/>
      <c r="N194" s="875"/>
      <c r="O194" s="875">
        <v>168.2</v>
      </c>
      <c r="P194" s="875"/>
      <c r="Q194" s="875">
        <f>261.8+39.2</f>
        <v>301</v>
      </c>
      <c r="R194" s="875"/>
    </row>
    <row r="195" spans="1:18" ht="16.5">
      <c r="A195" s="873" t="s">
        <v>2073</v>
      </c>
      <c r="B195" s="1344" t="s">
        <v>1631</v>
      </c>
      <c r="C195" s="877"/>
      <c r="D195" s="877"/>
      <c r="E195" s="877"/>
      <c r="F195" s="877"/>
      <c r="G195" s="877"/>
      <c r="H195" s="877"/>
      <c r="I195" s="877"/>
      <c r="J195" s="877"/>
      <c r="K195" s="875"/>
      <c r="L195" s="875"/>
      <c r="M195" s="875"/>
      <c r="N195" s="875"/>
      <c r="O195" s="875"/>
      <c r="P195" s="875"/>
      <c r="Q195" s="875"/>
      <c r="R195" s="875"/>
    </row>
    <row r="196" spans="1:18" ht="16.5">
      <c r="A196" s="876">
        <v>113</v>
      </c>
      <c r="B196" s="1345" t="s">
        <v>2074</v>
      </c>
      <c r="C196" s="877">
        <f>SUM(F196:J196)</f>
        <v>2</v>
      </c>
      <c r="D196" s="877"/>
      <c r="E196" s="877"/>
      <c r="F196" s="877"/>
      <c r="G196" s="877"/>
      <c r="H196" s="877"/>
      <c r="I196" s="877">
        <v>2</v>
      </c>
      <c r="J196" s="877"/>
      <c r="K196" s="875"/>
      <c r="L196" s="875"/>
      <c r="M196" s="875"/>
      <c r="N196" s="875"/>
      <c r="O196" s="875"/>
      <c r="P196" s="875"/>
      <c r="Q196" s="875">
        <f>285.4+157.8+39.2</f>
        <v>482.4</v>
      </c>
      <c r="R196" s="875"/>
    </row>
    <row r="197" spans="1:18" ht="16.5">
      <c r="A197" s="873" t="s">
        <v>2075</v>
      </c>
      <c r="B197" s="1344" t="s">
        <v>1632</v>
      </c>
      <c r="C197" s="877"/>
      <c r="D197" s="877"/>
      <c r="E197" s="877"/>
      <c r="F197" s="877"/>
      <c r="G197" s="877"/>
      <c r="H197" s="877"/>
      <c r="I197" s="877"/>
      <c r="J197" s="877"/>
      <c r="K197" s="875"/>
      <c r="L197" s="875"/>
      <c r="M197" s="875"/>
      <c r="N197" s="875"/>
      <c r="O197" s="875"/>
      <c r="P197" s="875"/>
      <c r="Q197" s="875"/>
      <c r="R197" s="875"/>
    </row>
    <row r="198" spans="1:18" ht="16.5">
      <c r="A198" s="876">
        <v>114</v>
      </c>
      <c r="B198" s="1345" t="s">
        <v>2076</v>
      </c>
      <c r="C198" s="877">
        <f>SUM(F198:J198)</f>
        <v>1</v>
      </c>
      <c r="D198" s="877"/>
      <c r="E198" s="877"/>
      <c r="F198" s="877"/>
      <c r="G198" s="877"/>
      <c r="H198" s="877"/>
      <c r="I198" s="877">
        <v>1</v>
      </c>
      <c r="J198" s="877"/>
      <c r="K198" s="875"/>
      <c r="L198" s="875"/>
      <c r="M198" s="875"/>
      <c r="N198" s="875"/>
      <c r="O198" s="875"/>
      <c r="P198" s="875"/>
      <c r="Q198" s="875">
        <f>201.1+39.2</f>
        <v>240.3</v>
      </c>
      <c r="R198" s="875"/>
    </row>
    <row r="199" spans="1:18" ht="16.5">
      <c r="A199" s="876">
        <v>115</v>
      </c>
      <c r="B199" s="1345" t="s">
        <v>2077</v>
      </c>
      <c r="C199" s="877">
        <f>SUM(F199:J199)</f>
        <v>1</v>
      </c>
      <c r="D199" s="877"/>
      <c r="E199" s="877"/>
      <c r="F199" s="877"/>
      <c r="G199" s="877"/>
      <c r="H199" s="877"/>
      <c r="I199" s="877">
        <v>1</v>
      </c>
      <c r="J199" s="877"/>
      <c r="K199" s="875"/>
      <c r="L199" s="875"/>
      <c r="M199" s="875"/>
      <c r="N199" s="875"/>
      <c r="O199" s="875"/>
      <c r="P199" s="875"/>
      <c r="Q199" s="875">
        <f>267.4+39.2</f>
        <v>306.59999999999997</v>
      </c>
      <c r="R199" s="875"/>
    </row>
    <row r="200" spans="1:18" ht="16.5">
      <c r="A200" s="873" t="s">
        <v>2078</v>
      </c>
      <c r="B200" s="1344" t="s">
        <v>1636</v>
      </c>
      <c r="C200" s="877"/>
      <c r="D200" s="877"/>
      <c r="E200" s="877"/>
      <c r="F200" s="877"/>
      <c r="G200" s="877"/>
      <c r="H200" s="877"/>
      <c r="I200" s="877"/>
      <c r="J200" s="877"/>
      <c r="K200" s="875"/>
      <c r="L200" s="875"/>
      <c r="M200" s="875"/>
      <c r="N200" s="875"/>
      <c r="O200" s="875"/>
      <c r="P200" s="875"/>
      <c r="Q200" s="875"/>
      <c r="R200" s="875"/>
    </row>
    <row r="201" spans="1:18" ht="16.5">
      <c r="A201" s="876">
        <v>116</v>
      </c>
      <c r="B201" s="1345" t="s">
        <v>2079</v>
      </c>
      <c r="C201" s="877">
        <f>SUM(F201:J201)</f>
        <v>1</v>
      </c>
      <c r="D201" s="877"/>
      <c r="E201" s="877"/>
      <c r="F201" s="877"/>
      <c r="G201" s="877"/>
      <c r="H201" s="877"/>
      <c r="I201" s="877">
        <v>1</v>
      </c>
      <c r="J201" s="877"/>
      <c r="K201" s="875"/>
      <c r="L201" s="875"/>
      <c r="M201" s="875"/>
      <c r="N201" s="875"/>
      <c r="O201" s="875"/>
      <c r="P201" s="875"/>
      <c r="Q201" s="875">
        <f>201.4+39.2</f>
        <v>240.60000000000002</v>
      </c>
      <c r="R201" s="875"/>
    </row>
    <row r="202" spans="1:18" ht="16.5">
      <c r="A202" s="876">
        <v>117</v>
      </c>
      <c r="B202" s="1345" t="s">
        <v>2080</v>
      </c>
      <c r="C202" s="877"/>
      <c r="D202" s="877"/>
      <c r="E202" s="877"/>
      <c r="F202" s="877"/>
      <c r="G202" s="877"/>
      <c r="H202" s="877"/>
      <c r="I202" s="877"/>
      <c r="J202" s="877">
        <v>1</v>
      </c>
      <c r="K202" s="875"/>
      <c r="L202" s="875"/>
      <c r="M202" s="875"/>
      <c r="N202" s="875"/>
      <c r="O202" s="875"/>
      <c r="P202" s="875"/>
      <c r="Q202" s="875"/>
      <c r="R202" s="875">
        <v>255.6</v>
      </c>
    </row>
    <row r="203" spans="1:18" ht="16.5">
      <c r="A203" s="873" t="s">
        <v>2081</v>
      </c>
      <c r="B203" s="1344" t="s">
        <v>1638</v>
      </c>
      <c r="C203" s="877"/>
      <c r="D203" s="877"/>
      <c r="E203" s="877"/>
      <c r="F203" s="877"/>
      <c r="G203" s="877"/>
      <c r="H203" s="877"/>
      <c r="I203" s="877"/>
      <c r="J203" s="877"/>
      <c r="K203" s="875"/>
      <c r="L203" s="875"/>
      <c r="M203" s="875"/>
      <c r="N203" s="875"/>
      <c r="O203" s="875"/>
      <c r="P203" s="875"/>
      <c r="Q203" s="875"/>
      <c r="R203" s="875"/>
    </row>
    <row r="204" spans="1:18" ht="16.5">
      <c r="A204" s="876">
        <v>118</v>
      </c>
      <c r="B204" s="1345" t="s">
        <v>2082</v>
      </c>
      <c r="C204" s="877">
        <f>SUM(F204:J204)</f>
        <v>1</v>
      </c>
      <c r="D204" s="877"/>
      <c r="E204" s="877"/>
      <c r="F204" s="877"/>
      <c r="G204" s="877"/>
      <c r="H204" s="877"/>
      <c r="I204" s="877">
        <v>1</v>
      </c>
      <c r="J204" s="877"/>
      <c r="K204" s="875"/>
      <c r="L204" s="875"/>
      <c r="M204" s="875"/>
      <c r="N204" s="875"/>
      <c r="O204" s="875"/>
      <c r="P204" s="875"/>
      <c r="Q204" s="875">
        <f>276+39.1</f>
        <v>315.1</v>
      </c>
      <c r="R204" s="875"/>
    </row>
    <row r="205" spans="1:18" ht="16.5">
      <c r="A205" s="873" t="s">
        <v>2081</v>
      </c>
      <c r="B205" s="1344" t="s">
        <v>2083</v>
      </c>
      <c r="C205" s="877"/>
      <c r="D205" s="877"/>
      <c r="E205" s="877"/>
      <c r="F205" s="877"/>
      <c r="G205" s="877"/>
      <c r="H205" s="877"/>
      <c r="I205" s="877"/>
      <c r="J205" s="877"/>
      <c r="K205" s="875"/>
      <c r="L205" s="875"/>
      <c r="M205" s="875"/>
      <c r="N205" s="875"/>
      <c r="O205" s="875"/>
      <c r="P205" s="875"/>
      <c r="Q205" s="875"/>
      <c r="R205" s="875"/>
    </row>
    <row r="206" spans="1:18" ht="16.5">
      <c r="A206" s="876">
        <v>119</v>
      </c>
      <c r="B206" s="1345" t="s">
        <v>2084</v>
      </c>
      <c r="C206" s="877"/>
      <c r="D206" s="877"/>
      <c r="E206" s="877"/>
      <c r="F206" s="877"/>
      <c r="G206" s="877"/>
      <c r="H206" s="877"/>
      <c r="I206" s="877"/>
      <c r="J206" s="877">
        <v>1</v>
      </c>
      <c r="K206" s="875"/>
      <c r="L206" s="875"/>
      <c r="M206" s="875"/>
      <c r="N206" s="875"/>
      <c r="O206" s="875"/>
      <c r="P206" s="875"/>
      <c r="Q206" s="875"/>
      <c r="R206" s="875">
        <v>327.3</v>
      </c>
    </row>
    <row r="207" spans="1:18" ht="16.5">
      <c r="A207" s="873" t="s">
        <v>2085</v>
      </c>
      <c r="B207" s="1344" t="s">
        <v>1637</v>
      </c>
      <c r="C207" s="877"/>
      <c r="D207" s="877"/>
      <c r="E207" s="877"/>
      <c r="F207" s="877"/>
      <c r="G207" s="877"/>
      <c r="H207" s="877"/>
      <c r="I207" s="877"/>
      <c r="J207" s="877"/>
      <c r="K207" s="875"/>
      <c r="L207" s="875"/>
      <c r="M207" s="875"/>
      <c r="N207" s="875"/>
      <c r="O207" s="875"/>
      <c r="P207" s="875"/>
      <c r="Q207" s="875"/>
      <c r="R207" s="875"/>
    </row>
    <row r="208" spans="1:18" ht="16.5">
      <c r="A208" s="876">
        <v>120</v>
      </c>
      <c r="B208" s="1345" t="s">
        <v>2086</v>
      </c>
      <c r="C208" s="877"/>
      <c r="D208" s="877"/>
      <c r="E208" s="877"/>
      <c r="F208" s="877"/>
      <c r="G208" s="877"/>
      <c r="H208" s="877"/>
      <c r="I208" s="877"/>
      <c r="J208" s="877">
        <v>1</v>
      </c>
      <c r="K208" s="875"/>
      <c r="L208" s="875"/>
      <c r="M208" s="875"/>
      <c r="N208" s="875"/>
      <c r="O208" s="875"/>
      <c r="P208" s="875"/>
      <c r="Q208" s="875"/>
      <c r="R208" s="875">
        <v>342.7</v>
      </c>
    </row>
    <row r="209" spans="1:18" ht="16.5">
      <c r="A209" s="873" t="s">
        <v>2087</v>
      </c>
      <c r="B209" s="1344" t="s">
        <v>1634</v>
      </c>
      <c r="C209" s="877"/>
      <c r="D209" s="877"/>
      <c r="E209" s="877"/>
      <c r="F209" s="877"/>
      <c r="G209" s="877"/>
      <c r="H209" s="877"/>
      <c r="I209" s="877"/>
      <c r="J209" s="877"/>
      <c r="K209" s="875"/>
      <c r="L209" s="875"/>
      <c r="M209" s="875"/>
      <c r="N209" s="875"/>
      <c r="O209" s="875"/>
      <c r="P209" s="875"/>
      <c r="Q209" s="875"/>
      <c r="R209" s="875"/>
    </row>
    <row r="210" spans="1:18" ht="16.5">
      <c r="A210" s="876">
        <v>121</v>
      </c>
      <c r="B210" s="1345" t="s">
        <v>2088</v>
      </c>
      <c r="C210" s="877"/>
      <c r="D210" s="877"/>
      <c r="E210" s="877"/>
      <c r="F210" s="877"/>
      <c r="G210" s="877"/>
      <c r="H210" s="877"/>
      <c r="I210" s="877"/>
      <c r="J210" s="877">
        <v>1</v>
      </c>
      <c r="K210" s="875"/>
      <c r="L210" s="875"/>
      <c r="M210" s="875"/>
      <c r="N210" s="875"/>
      <c r="O210" s="875"/>
      <c r="P210" s="875"/>
      <c r="Q210" s="875"/>
      <c r="R210" s="875">
        <v>255.6</v>
      </c>
    </row>
    <row r="211" spans="1:18" ht="16.5">
      <c r="A211" s="876">
        <v>122</v>
      </c>
      <c r="B211" s="1345" t="s">
        <v>2089</v>
      </c>
      <c r="C211" s="877"/>
      <c r="D211" s="877"/>
      <c r="E211" s="877"/>
      <c r="F211" s="877"/>
      <c r="G211" s="877"/>
      <c r="H211" s="877"/>
      <c r="I211" s="877"/>
      <c r="J211" s="877">
        <v>1</v>
      </c>
      <c r="K211" s="875"/>
      <c r="L211" s="875"/>
      <c r="M211" s="875"/>
      <c r="N211" s="875"/>
      <c r="O211" s="875"/>
      <c r="P211" s="875"/>
      <c r="Q211" s="875"/>
      <c r="R211" s="875">
        <v>327.3</v>
      </c>
    </row>
    <row r="212" spans="1:18" ht="16.5">
      <c r="A212" s="873" t="s">
        <v>2090</v>
      </c>
      <c r="B212" s="1344" t="s">
        <v>1633</v>
      </c>
      <c r="C212" s="877"/>
      <c r="D212" s="877"/>
      <c r="E212" s="877"/>
      <c r="F212" s="877"/>
      <c r="G212" s="877"/>
      <c r="H212" s="877"/>
      <c r="I212" s="877"/>
      <c r="J212" s="877"/>
      <c r="K212" s="875"/>
      <c r="L212" s="875"/>
      <c r="M212" s="875"/>
      <c r="N212" s="875"/>
      <c r="O212" s="875"/>
      <c r="P212" s="875"/>
      <c r="Q212" s="875"/>
      <c r="R212" s="875"/>
    </row>
    <row r="213" spans="1:18" ht="16.5">
      <c r="A213" s="876">
        <v>123</v>
      </c>
      <c r="B213" s="1345" t="s">
        <v>2091</v>
      </c>
      <c r="C213" s="877"/>
      <c r="D213" s="877"/>
      <c r="E213" s="877"/>
      <c r="F213" s="877"/>
      <c r="G213" s="877"/>
      <c r="H213" s="877"/>
      <c r="I213" s="877"/>
      <c r="J213" s="877">
        <v>1</v>
      </c>
      <c r="K213" s="875"/>
      <c r="L213" s="875"/>
      <c r="M213" s="875"/>
      <c r="N213" s="875"/>
      <c r="O213" s="875"/>
      <c r="P213" s="875"/>
      <c r="Q213" s="875"/>
      <c r="R213" s="875">
        <v>332.6</v>
      </c>
    </row>
    <row r="214" spans="1:18" ht="16.5">
      <c r="A214" s="873" t="s">
        <v>388</v>
      </c>
      <c r="B214" s="1344" t="s">
        <v>2092</v>
      </c>
      <c r="C214" s="877"/>
      <c r="D214" s="877"/>
      <c r="E214" s="877"/>
      <c r="F214" s="877"/>
      <c r="G214" s="877"/>
      <c r="H214" s="877"/>
      <c r="I214" s="877"/>
      <c r="J214" s="874">
        <v>1</v>
      </c>
      <c r="K214" s="875"/>
      <c r="L214" s="875"/>
      <c r="M214" s="875"/>
      <c r="N214" s="875"/>
      <c r="O214" s="875"/>
      <c r="P214" s="875"/>
      <c r="Q214" s="875"/>
      <c r="R214" s="872">
        <v>210.1</v>
      </c>
    </row>
    <row r="215" spans="1:18" ht="16.5">
      <c r="A215" s="873"/>
      <c r="B215" s="1344" t="s">
        <v>2093</v>
      </c>
      <c r="C215" s="877"/>
      <c r="D215" s="877"/>
      <c r="E215" s="877"/>
      <c r="F215" s="877"/>
      <c r="G215" s="877"/>
      <c r="H215" s="877"/>
      <c r="I215" s="877"/>
      <c r="J215" s="877"/>
      <c r="K215" s="875"/>
      <c r="L215" s="875"/>
      <c r="M215" s="875"/>
      <c r="N215" s="875"/>
      <c r="O215" s="875"/>
      <c r="P215" s="875"/>
      <c r="Q215" s="875"/>
      <c r="R215" s="875"/>
    </row>
    <row r="216" spans="1:18" ht="16.5">
      <c r="A216" s="876">
        <v>124</v>
      </c>
      <c r="B216" s="1345" t="s">
        <v>2094</v>
      </c>
      <c r="C216" s="877">
        <f>SUM(F216:J216)</f>
        <v>1</v>
      </c>
      <c r="D216" s="877"/>
      <c r="E216" s="877"/>
      <c r="F216" s="877"/>
      <c r="G216" s="877">
        <v>1</v>
      </c>
      <c r="H216" s="877"/>
      <c r="I216" s="877"/>
      <c r="J216" s="877"/>
      <c r="K216" s="875"/>
      <c r="L216" s="875"/>
      <c r="M216" s="875"/>
      <c r="N216" s="875"/>
      <c r="O216" s="875">
        <v>194.3</v>
      </c>
      <c r="P216" s="875"/>
      <c r="Q216" s="875"/>
      <c r="R216" s="875"/>
    </row>
    <row r="217" spans="1:18" ht="16.5">
      <c r="A217" s="881">
        <v>125</v>
      </c>
      <c r="B217" s="1346" t="s">
        <v>2095</v>
      </c>
      <c r="C217" s="889">
        <f>SUM(F217:J217)</f>
        <v>1</v>
      </c>
      <c r="D217" s="882"/>
      <c r="E217" s="882"/>
      <c r="F217" s="882"/>
      <c r="G217" s="882"/>
      <c r="H217" s="882"/>
      <c r="I217" s="882"/>
      <c r="J217" s="881">
        <v>1</v>
      </c>
      <c r="K217" s="882"/>
      <c r="L217" s="882"/>
      <c r="M217" s="882"/>
      <c r="N217" s="882"/>
      <c r="O217" s="882"/>
      <c r="P217" s="882"/>
      <c r="Q217" s="882"/>
      <c r="R217" s="883">
        <v>210.1</v>
      </c>
    </row>
  </sheetData>
  <sheetProtection/>
  <mergeCells count="6">
    <mergeCell ref="A4:A6"/>
    <mergeCell ref="B4:B6"/>
    <mergeCell ref="C5:J5"/>
    <mergeCell ref="A1:P1"/>
    <mergeCell ref="K5:R5"/>
    <mergeCell ref="C4:R4"/>
  </mergeCells>
  <printOptions horizontalCentered="1"/>
  <pageMargins left="0.31496062992125984" right="0.31496062992125984" top="0.3937007874015748" bottom="0.3937007874015748"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R65"/>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I11" sqref="I11"/>
    </sheetView>
  </sheetViews>
  <sheetFormatPr defaultColWidth="8.796875" defaultRowHeight="15"/>
  <cols>
    <col min="1" max="1" width="4" style="604" customWidth="1"/>
    <col min="2" max="2" width="19.5" style="604" customWidth="1"/>
    <col min="3" max="10" width="6.19921875" style="604" customWidth="1"/>
    <col min="11" max="11" width="7.5" style="604" customWidth="1"/>
    <col min="12" max="13" width="6.59765625" style="604" customWidth="1"/>
    <col min="14" max="14" width="7.5" style="604" customWidth="1"/>
    <col min="15" max="18" width="6.59765625" style="604" customWidth="1"/>
    <col min="19" max="16384" width="9" style="604" customWidth="1"/>
  </cols>
  <sheetData>
    <row r="1" spans="1:16" ht="33.75" customHeight="1">
      <c r="A1" s="1539" t="s">
        <v>1589</v>
      </c>
      <c r="B1" s="1539"/>
      <c r="C1" s="1539"/>
      <c r="D1" s="1539"/>
      <c r="E1" s="1539"/>
      <c r="F1" s="1539"/>
      <c r="G1" s="1539"/>
      <c r="H1" s="1539"/>
      <c r="I1" s="1539"/>
      <c r="J1" s="1539"/>
      <c r="K1" s="1539"/>
      <c r="L1" s="1539"/>
      <c r="M1" s="1539"/>
      <c r="N1" s="1539"/>
      <c r="O1" s="1539"/>
      <c r="P1" s="1539"/>
    </row>
    <row r="2" spans="1:16" ht="21" customHeight="1">
      <c r="A2" s="740" t="s">
        <v>2315</v>
      </c>
      <c r="B2" s="639"/>
      <c r="C2" s="639"/>
      <c r="D2" s="639"/>
      <c r="E2" s="639"/>
      <c r="F2" s="639"/>
      <c r="G2" s="639"/>
      <c r="H2" s="639"/>
      <c r="I2" s="639"/>
      <c r="J2" s="639"/>
      <c r="K2" s="639"/>
      <c r="L2" s="639"/>
      <c r="M2" s="639"/>
      <c r="N2" s="639"/>
      <c r="O2" s="639"/>
      <c r="P2" s="639"/>
    </row>
    <row r="3" ht="11.25" customHeight="1"/>
    <row r="4" spans="1:18" s="728" customFormat="1" ht="16.5" customHeight="1">
      <c r="A4" s="1532" t="s">
        <v>488</v>
      </c>
      <c r="B4" s="1532" t="s">
        <v>1350</v>
      </c>
      <c r="C4" s="1541" t="s">
        <v>1279</v>
      </c>
      <c r="D4" s="1541"/>
      <c r="E4" s="1541"/>
      <c r="F4" s="1541"/>
      <c r="G4" s="1541"/>
      <c r="H4" s="1541"/>
      <c r="I4" s="1541"/>
      <c r="J4" s="1541"/>
      <c r="K4" s="1541"/>
      <c r="L4" s="1541"/>
      <c r="M4" s="1541"/>
      <c r="N4" s="1541"/>
      <c r="O4" s="1541"/>
      <c r="P4" s="1541"/>
      <c r="Q4" s="1541"/>
      <c r="R4" s="1541"/>
    </row>
    <row r="5" spans="1:18" s="728" customFormat="1" ht="18" customHeight="1">
      <c r="A5" s="1533"/>
      <c r="B5" s="1533"/>
      <c r="C5" s="1538" t="s">
        <v>1448</v>
      </c>
      <c r="D5" s="1538"/>
      <c r="E5" s="1538"/>
      <c r="F5" s="1538"/>
      <c r="G5" s="1538"/>
      <c r="H5" s="1538"/>
      <c r="I5" s="1538"/>
      <c r="J5" s="1538"/>
      <c r="K5" s="1540" t="s">
        <v>1280</v>
      </c>
      <c r="L5" s="1540"/>
      <c r="M5" s="1540"/>
      <c r="N5" s="1540"/>
      <c r="O5" s="1540"/>
      <c r="P5" s="1540"/>
      <c r="Q5" s="1540"/>
      <c r="R5" s="1540"/>
    </row>
    <row r="6" spans="1:18" s="728" customFormat="1" ht="63" customHeight="1">
      <c r="A6" s="1534"/>
      <c r="B6" s="1534"/>
      <c r="C6" s="885" t="s">
        <v>947</v>
      </c>
      <c r="D6" s="886" t="s">
        <v>1360</v>
      </c>
      <c r="E6" s="886" t="s">
        <v>1420</v>
      </c>
      <c r="F6" s="886" t="s">
        <v>1434</v>
      </c>
      <c r="G6" s="886" t="s">
        <v>1480</v>
      </c>
      <c r="H6" s="887" t="s">
        <v>1514</v>
      </c>
      <c r="I6" s="811" t="s">
        <v>1566</v>
      </c>
      <c r="J6" s="811" t="s">
        <v>1482</v>
      </c>
      <c r="K6" s="885" t="s">
        <v>947</v>
      </c>
      <c r="L6" s="886" t="s">
        <v>1360</v>
      </c>
      <c r="M6" s="886" t="s">
        <v>1420</v>
      </c>
      <c r="N6" s="886" t="s">
        <v>1434</v>
      </c>
      <c r="O6" s="886" t="s">
        <v>1480</v>
      </c>
      <c r="P6" s="887" t="s">
        <v>1514</v>
      </c>
      <c r="Q6" s="811" t="s">
        <v>1566</v>
      </c>
      <c r="R6" s="811" t="s">
        <v>1482</v>
      </c>
    </row>
    <row r="7" spans="1:18" ht="20.25" customHeight="1">
      <c r="A7" s="884"/>
      <c r="B7" s="884" t="s">
        <v>1165</v>
      </c>
      <c r="C7" s="884">
        <v>24</v>
      </c>
      <c r="D7" s="890">
        <v>0</v>
      </c>
      <c r="E7" s="890">
        <v>0</v>
      </c>
      <c r="F7" s="891">
        <f>SUM(F9:F36)</f>
        <v>10</v>
      </c>
      <c r="G7" s="891">
        <f>SUM(G9:G36)</f>
        <v>8</v>
      </c>
      <c r="H7" s="891">
        <f>SUM(H9:H36)</f>
        <v>6</v>
      </c>
      <c r="I7" s="892">
        <v>0</v>
      </c>
      <c r="J7" s="892">
        <v>0</v>
      </c>
      <c r="K7" s="893">
        <f>SUM(L7:Q7)</f>
        <v>3535</v>
      </c>
      <c r="L7" s="894">
        <v>0</v>
      </c>
      <c r="M7" s="894">
        <v>45</v>
      </c>
      <c r="N7" s="895">
        <v>2000</v>
      </c>
      <c r="O7" s="895">
        <v>500</v>
      </c>
      <c r="P7" s="895">
        <v>990</v>
      </c>
      <c r="Q7" s="892">
        <v>0</v>
      </c>
      <c r="R7" s="892">
        <v>0</v>
      </c>
    </row>
    <row r="8" spans="1:18" ht="19.5" customHeight="1">
      <c r="A8" s="884" t="s">
        <v>486</v>
      </c>
      <c r="B8" s="900" t="s">
        <v>2069</v>
      </c>
      <c r="C8" s="890"/>
      <c r="D8" s="890"/>
      <c r="E8" s="890"/>
      <c r="F8" s="891"/>
      <c r="G8" s="891"/>
      <c r="H8" s="891"/>
      <c r="I8" s="890"/>
      <c r="J8" s="890"/>
      <c r="K8" s="890"/>
      <c r="L8" s="890"/>
      <c r="M8" s="890"/>
      <c r="N8" s="890"/>
      <c r="O8" s="890"/>
      <c r="P8" s="890"/>
      <c r="Q8" s="896"/>
      <c r="R8" s="896"/>
    </row>
    <row r="9" spans="1:18" ht="19.5" customHeight="1">
      <c r="A9" s="898">
        <v>1</v>
      </c>
      <c r="B9" s="901" t="s">
        <v>2096</v>
      </c>
      <c r="C9" s="896"/>
      <c r="D9" s="896"/>
      <c r="E9" s="896"/>
      <c r="F9" s="897">
        <v>1</v>
      </c>
      <c r="G9" s="897"/>
      <c r="H9" s="897"/>
      <c r="I9" s="896"/>
      <c r="J9" s="896"/>
      <c r="K9" s="896"/>
      <c r="L9" s="896"/>
      <c r="M9" s="896"/>
      <c r="N9" s="896"/>
      <c r="O9" s="896"/>
      <c r="P9" s="896"/>
      <c r="Q9" s="896"/>
      <c r="R9" s="896"/>
    </row>
    <row r="10" spans="1:18" ht="19.5" customHeight="1">
      <c r="A10" s="898">
        <v>2</v>
      </c>
      <c r="B10" s="901" t="s">
        <v>2097</v>
      </c>
      <c r="C10" s="890"/>
      <c r="D10" s="898"/>
      <c r="E10" s="898"/>
      <c r="F10" s="897">
        <v>1</v>
      </c>
      <c r="G10" s="897"/>
      <c r="H10" s="897"/>
      <c r="I10" s="898"/>
      <c r="J10" s="898"/>
      <c r="K10" s="898"/>
      <c r="L10" s="898"/>
      <c r="M10" s="884"/>
      <c r="N10" s="890"/>
      <c r="O10" s="890"/>
      <c r="P10" s="890"/>
      <c r="Q10" s="896"/>
      <c r="R10" s="896"/>
    </row>
    <row r="11" spans="1:18" ht="19.5" customHeight="1">
      <c r="A11" s="884" t="s">
        <v>484</v>
      </c>
      <c r="B11" s="900" t="s">
        <v>1736</v>
      </c>
      <c r="C11" s="896"/>
      <c r="D11" s="898"/>
      <c r="E11" s="898"/>
      <c r="F11" s="897"/>
      <c r="G11" s="897"/>
      <c r="H11" s="897"/>
      <c r="I11" s="898"/>
      <c r="J11" s="898"/>
      <c r="K11" s="898"/>
      <c r="L11" s="898"/>
      <c r="M11" s="884"/>
      <c r="N11" s="890"/>
      <c r="O11" s="890"/>
      <c r="P11" s="890"/>
      <c r="Q11" s="896"/>
      <c r="R11" s="896"/>
    </row>
    <row r="12" spans="1:18" ht="19.5" customHeight="1">
      <c r="A12" s="898">
        <v>1</v>
      </c>
      <c r="B12" s="901" t="s">
        <v>2098</v>
      </c>
      <c r="C12" s="896"/>
      <c r="D12" s="898"/>
      <c r="E12" s="898"/>
      <c r="F12" s="897">
        <v>1</v>
      </c>
      <c r="G12" s="897"/>
      <c r="H12" s="897"/>
      <c r="I12" s="898"/>
      <c r="J12" s="898"/>
      <c r="K12" s="898"/>
      <c r="L12" s="898"/>
      <c r="M12" s="898"/>
      <c r="N12" s="896"/>
      <c r="O12" s="896"/>
      <c r="P12" s="896"/>
      <c r="Q12" s="896"/>
      <c r="R12" s="896"/>
    </row>
    <row r="13" spans="1:18" ht="19.5" customHeight="1">
      <c r="A13" s="898">
        <v>2</v>
      </c>
      <c r="B13" s="901" t="s">
        <v>2099</v>
      </c>
      <c r="C13" s="896"/>
      <c r="D13" s="898"/>
      <c r="E13" s="898"/>
      <c r="F13" s="897">
        <v>1</v>
      </c>
      <c r="G13" s="897"/>
      <c r="H13" s="897"/>
      <c r="I13" s="898"/>
      <c r="J13" s="898"/>
      <c r="K13" s="898"/>
      <c r="L13" s="898"/>
      <c r="M13" s="898"/>
      <c r="N13" s="896"/>
      <c r="O13" s="896"/>
      <c r="P13" s="896"/>
      <c r="Q13" s="896"/>
      <c r="R13" s="896"/>
    </row>
    <row r="14" spans="1:18" ht="19.5" customHeight="1">
      <c r="A14" s="898">
        <v>3</v>
      </c>
      <c r="B14" s="901" t="s">
        <v>2100</v>
      </c>
      <c r="C14" s="896"/>
      <c r="D14" s="898"/>
      <c r="E14" s="898"/>
      <c r="F14" s="897">
        <v>1</v>
      </c>
      <c r="G14" s="897"/>
      <c r="H14" s="897">
        <v>1</v>
      </c>
      <c r="I14" s="898"/>
      <c r="J14" s="898"/>
      <c r="K14" s="898"/>
      <c r="L14" s="898"/>
      <c r="M14" s="898"/>
      <c r="N14" s="896"/>
      <c r="O14" s="896"/>
      <c r="P14" s="896"/>
      <c r="Q14" s="896"/>
      <c r="R14" s="896"/>
    </row>
    <row r="15" spans="1:18" ht="19.5" customHeight="1">
      <c r="A15" s="898">
        <v>4</v>
      </c>
      <c r="B15" s="901" t="s">
        <v>2101</v>
      </c>
      <c r="C15" s="896"/>
      <c r="D15" s="898"/>
      <c r="E15" s="898"/>
      <c r="F15" s="897">
        <v>1</v>
      </c>
      <c r="G15" s="897"/>
      <c r="H15" s="897"/>
      <c r="I15" s="898"/>
      <c r="J15" s="898"/>
      <c r="K15" s="898"/>
      <c r="L15" s="898"/>
      <c r="M15" s="898"/>
      <c r="N15" s="896"/>
      <c r="O15" s="896"/>
      <c r="P15" s="896"/>
      <c r="Q15" s="896"/>
      <c r="R15" s="896"/>
    </row>
    <row r="16" spans="1:18" ht="19.5" customHeight="1">
      <c r="A16" s="898">
        <v>5</v>
      </c>
      <c r="B16" s="901" t="s">
        <v>2102</v>
      </c>
      <c r="C16" s="896"/>
      <c r="D16" s="898"/>
      <c r="E16" s="898"/>
      <c r="F16" s="897">
        <v>1</v>
      </c>
      <c r="G16" s="897"/>
      <c r="H16" s="897"/>
      <c r="I16" s="896"/>
      <c r="J16" s="896"/>
      <c r="K16" s="896"/>
      <c r="L16" s="896"/>
      <c r="M16" s="896"/>
      <c r="N16" s="896"/>
      <c r="O16" s="896"/>
      <c r="P16" s="896"/>
      <c r="Q16" s="896"/>
      <c r="R16" s="896"/>
    </row>
    <row r="17" spans="1:18" ht="19.5" customHeight="1">
      <c r="A17" s="884" t="s">
        <v>484</v>
      </c>
      <c r="B17" s="900" t="s">
        <v>1768</v>
      </c>
      <c r="C17" s="896"/>
      <c r="D17" s="896"/>
      <c r="E17" s="896"/>
      <c r="F17" s="897"/>
      <c r="G17" s="897"/>
      <c r="H17" s="897"/>
      <c r="I17" s="896"/>
      <c r="J17" s="896"/>
      <c r="K17" s="896"/>
      <c r="L17" s="896"/>
      <c r="M17" s="896"/>
      <c r="N17" s="896"/>
      <c r="O17" s="896"/>
      <c r="P17" s="896"/>
      <c r="Q17" s="896"/>
      <c r="R17" s="896"/>
    </row>
    <row r="18" spans="1:18" ht="19.5" customHeight="1">
      <c r="A18" s="898">
        <v>1</v>
      </c>
      <c r="B18" s="901" t="s">
        <v>2103</v>
      </c>
      <c r="C18" s="896"/>
      <c r="D18" s="896"/>
      <c r="E18" s="896"/>
      <c r="F18" s="897">
        <v>1</v>
      </c>
      <c r="G18" s="899"/>
      <c r="H18" s="897"/>
      <c r="I18" s="896"/>
      <c r="J18" s="896"/>
      <c r="K18" s="896"/>
      <c r="L18" s="896"/>
      <c r="M18" s="896"/>
      <c r="N18" s="896"/>
      <c r="O18" s="896"/>
      <c r="P18" s="896"/>
      <c r="Q18" s="896"/>
      <c r="R18" s="896"/>
    </row>
    <row r="19" spans="1:18" ht="19.5" customHeight="1">
      <c r="A19" s="898">
        <v>2</v>
      </c>
      <c r="B19" s="901" t="s">
        <v>2104</v>
      </c>
      <c r="C19" s="896"/>
      <c r="D19" s="896"/>
      <c r="E19" s="896"/>
      <c r="F19" s="897"/>
      <c r="G19" s="899">
        <v>1</v>
      </c>
      <c r="H19" s="897"/>
      <c r="I19" s="896"/>
      <c r="J19" s="896"/>
      <c r="K19" s="896"/>
      <c r="L19" s="896"/>
      <c r="M19" s="896"/>
      <c r="N19" s="896"/>
      <c r="O19" s="896"/>
      <c r="P19" s="896"/>
      <c r="Q19" s="896"/>
      <c r="R19" s="896"/>
    </row>
    <row r="20" spans="1:18" ht="19.5" customHeight="1">
      <c r="A20" s="898">
        <v>3</v>
      </c>
      <c r="B20" s="901" t="s">
        <v>2105</v>
      </c>
      <c r="C20" s="896"/>
      <c r="D20" s="896"/>
      <c r="E20" s="896"/>
      <c r="F20" s="897"/>
      <c r="G20" s="899">
        <v>1</v>
      </c>
      <c r="H20" s="897"/>
      <c r="I20" s="896"/>
      <c r="J20" s="896"/>
      <c r="K20" s="896"/>
      <c r="L20" s="896"/>
      <c r="M20" s="896"/>
      <c r="N20" s="896"/>
      <c r="O20" s="896"/>
      <c r="P20" s="896"/>
      <c r="Q20" s="896"/>
      <c r="R20" s="896"/>
    </row>
    <row r="21" spans="1:18" ht="19.5" customHeight="1">
      <c r="A21" s="884" t="s">
        <v>496</v>
      </c>
      <c r="B21" s="900" t="s">
        <v>1603</v>
      </c>
      <c r="C21" s="896"/>
      <c r="D21" s="896"/>
      <c r="E21" s="896"/>
      <c r="F21" s="897"/>
      <c r="G21" s="899"/>
      <c r="H21" s="897"/>
      <c r="I21" s="896"/>
      <c r="J21" s="896"/>
      <c r="K21" s="896"/>
      <c r="L21" s="896"/>
      <c r="M21" s="896"/>
      <c r="N21" s="896"/>
      <c r="O21" s="896"/>
      <c r="P21" s="896"/>
      <c r="Q21" s="896"/>
      <c r="R21" s="896"/>
    </row>
    <row r="22" spans="1:18" ht="19.5" customHeight="1">
      <c r="A22" s="898">
        <v>1</v>
      </c>
      <c r="B22" s="901" t="s">
        <v>2106</v>
      </c>
      <c r="C22" s="896"/>
      <c r="D22" s="896"/>
      <c r="E22" s="896"/>
      <c r="F22" s="897">
        <v>1</v>
      </c>
      <c r="G22" s="899">
        <v>1</v>
      </c>
      <c r="H22" s="897"/>
      <c r="I22" s="896"/>
      <c r="J22" s="896"/>
      <c r="K22" s="896"/>
      <c r="L22" s="896"/>
      <c r="M22" s="896"/>
      <c r="N22" s="896"/>
      <c r="O22" s="896"/>
      <c r="P22" s="896"/>
      <c r="Q22" s="896"/>
      <c r="R22" s="896"/>
    </row>
    <row r="23" spans="1:18" ht="19.5" customHeight="1">
      <c r="A23" s="898">
        <v>2</v>
      </c>
      <c r="B23" s="901" t="s">
        <v>2150</v>
      </c>
      <c r="C23" s="896"/>
      <c r="D23" s="896"/>
      <c r="E23" s="896"/>
      <c r="F23" s="897">
        <v>1</v>
      </c>
      <c r="G23" s="899"/>
      <c r="H23" s="897"/>
      <c r="I23" s="896"/>
      <c r="J23" s="896"/>
      <c r="K23" s="896"/>
      <c r="L23" s="896"/>
      <c r="M23" s="896"/>
      <c r="N23" s="896"/>
      <c r="O23" s="896"/>
      <c r="P23" s="896"/>
      <c r="Q23" s="896"/>
      <c r="R23" s="896"/>
    </row>
    <row r="24" spans="1:18" ht="19.5" customHeight="1">
      <c r="A24" s="898">
        <v>3</v>
      </c>
      <c r="B24" s="901" t="s">
        <v>2107</v>
      </c>
      <c r="C24" s="896"/>
      <c r="D24" s="896"/>
      <c r="E24" s="896"/>
      <c r="F24" s="897"/>
      <c r="G24" s="899"/>
      <c r="H24" s="897">
        <v>1</v>
      </c>
      <c r="I24" s="896"/>
      <c r="J24" s="896"/>
      <c r="K24" s="896"/>
      <c r="L24" s="896"/>
      <c r="M24" s="896"/>
      <c r="N24" s="896"/>
      <c r="O24" s="896"/>
      <c r="P24" s="896"/>
      <c r="Q24" s="896"/>
      <c r="R24" s="896"/>
    </row>
    <row r="25" spans="1:18" ht="19.5" customHeight="1">
      <c r="A25" s="898">
        <v>4</v>
      </c>
      <c r="B25" s="901" t="s">
        <v>2108</v>
      </c>
      <c r="C25" s="896"/>
      <c r="D25" s="896"/>
      <c r="E25" s="896"/>
      <c r="F25" s="897"/>
      <c r="G25" s="899"/>
      <c r="H25" s="897">
        <v>1</v>
      </c>
      <c r="I25" s="896"/>
      <c r="J25" s="896"/>
      <c r="K25" s="896"/>
      <c r="L25" s="896"/>
      <c r="M25" s="896"/>
      <c r="N25" s="896"/>
      <c r="O25" s="896"/>
      <c r="P25" s="896"/>
      <c r="Q25" s="896"/>
      <c r="R25" s="896"/>
    </row>
    <row r="26" spans="1:18" ht="19.5" customHeight="1">
      <c r="A26" s="898"/>
      <c r="B26" s="900" t="s">
        <v>1658</v>
      </c>
      <c r="C26" s="896"/>
      <c r="D26" s="896"/>
      <c r="E26" s="896"/>
      <c r="F26" s="897"/>
      <c r="G26" s="899"/>
      <c r="H26" s="897"/>
      <c r="I26" s="896"/>
      <c r="J26" s="896"/>
      <c r="K26" s="896"/>
      <c r="L26" s="896"/>
      <c r="M26" s="896"/>
      <c r="N26" s="896"/>
      <c r="O26" s="896"/>
      <c r="P26" s="896"/>
      <c r="Q26" s="896"/>
      <c r="R26" s="896"/>
    </row>
    <row r="27" spans="1:18" ht="19.5" customHeight="1">
      <c r="A27" s="898">
        <v>1</v>
      </c>
      <c r="B27" s="901" t="s">
        <v>2109</v>
      </c>
      <c r="C27" s="896"/>
      <c r="D27" s="896"/>
      <c r="E27" s="896"/>
      <c r="F27" s="897"/>
      <c r="G27" s="899">
        <v>1</v>
      </c>
      <c r="H27" s="897"/>
      <c r="I27" s="896"/>
      <c r="J27" s="896"/>
      <c r="K27" s="896"/>
      <c r="L27" s="896"/>
      <c r="M27" s="896"/>
      <c r="N27" s="896"/>
      <c r="O27" s="896"/>
      <c r="P27" s="896"/>
      <c r="Q27" s="896"/>
      <c r="R27" s="896"/>
    </row>
    <row r="28" spans="1:18" ht="19.5" customHeight="1">
      <c r="A28" s="898"/>
      <c r="B28" s="900" t="s">
        <v>1677</v>
      </c>
      <c r="C28" s="896"/>
      <c r="D28" s="896"/>
      <c r="E28" s="896"/>
      <c r="F28" s="897"/>
      <c r="G28" s="899"/>
      <c r="H28" s="897"/>
      <c r="I28" s="896"/>
      <c r="J28" s="896"/>
      <c r="K28" s="896"/>
      <c r="L28" s="896"/>
      <c r="M28" s="896"/>
      <c r="N28" s="896"/>
      <c r="O28" s="896"/>
      <c r="P28" s="896"/>
      <c r="Q28" s="896"/>
      <c r="R28" s="896"/>
    </row>
    <row r="29" spans="1:18" ht="19.5" customHeight="1">
      <c r="A29" s="898">
        <v>1</v>
      </c>
      <c r="B29" s="901" t="s">
        <v>2110</v>
      </c>
      <c r="C29" s="896"/>
      <c r="D29" s="896"/>
      <c r="E29" s="896"/>
      <c r="F29" s="897"/>
      <c r="G29" s="899">
        <v>1</v>
      </c>
      <c r="H29" s="897"/>
      <c r="I29" s="896"/>
      <c r="J29" s="896"/>
      <c r="K29" s="896"/>
      <c r="L29" s="896"/>
      <c r="M29" s="896"/>
      <c r="N29" s="896"/>
      <c r="O29" s="896"/>
      <c r="P29" s="896"/>
      <c r="Q29" s="896"/>
      <c r="R29" s="896"/>
    </row>
    <row r="30" spans="1:18" ht="19.5" customHeight="1">
      <c r="A30" s="898">
        <v>2</v>
      </c>
      <c r="B30" s="901" t="s">
        <v>2111</v>
      </c>
      <c r="C30" s="896"/>
      <c r="D30" s="896"/>
      <c r="E30" s="896"/>
      <c r="F30" s="897"/>
      <c r="G30" s="899"/>
      <c r="H30" s="897">
        <v>1</v>
      </c>
      <c r="I30" s="896"/>
      <c r="J30" s="896"/>
      <c r="K30" s="896"/>
      <c r="L30" s="896"/>
      <c r="M30" s="896"/>
      <c r="N30" s="896"/>
      <c r="O30" s="896"/>
      <c r="P30" s="896"/>
      <c r="Q30" s="896"/>
      <c r="R30" s="896"/>
    </row>
    <row r="31" spans="1:18" ht="19.5" customHeight="1">
      <c r="A31" s="898"/>
      <c r="B31" s="900" t="s">
        <v>1640</v>
      </c>
      <c r="C31" s="896"/>
      <c r="D31" s="896"/>
      <c r="E31" s="896"/>
      <c r="F31" s="897"/>
      <c r="G31" s="899"/>
      <c r="H31" s="897"/>
      <c r="I31" s="896"/>
      <c r="J31" s="896"/>
      <c r="K31" s="896"/>
      <c r="L31" s="896"/>
      <c r="M31" s="896"/>
      <c r="N31" s="896"/>
      <c r="O31" s="896"/>
      <c r="P31" s="896"/>
      <c r="Q31" s="896"/>
      <c r="R31" s="896"/>
    </row>
    <row r="32" spans="1:18" ht="19.5" customHeight="1">
      <c r="A32" s="898">
        <v>1</v>
      </c>
      <c r="B32" s="901" t="s">
        <v>2112</v>
      </c>
      <c r="C32" s="896"/>
      <c r="D32" s="896"/>
      <c r="E32" s="896"/>
      <c r="F32" s="897"/>
      <c r="G32" s="899">
        <v>1</v>
      </c>
      <c r="H32" s="897"/>
      <c r="I32" s="896"/>
      <c r="J32" s="896"/>
      <c r="K32" s="896"/>
      <c r="L32" s="896"/>
      <c r="M32" s="896"/>
      <c r="N32" s="896"/>
      <c r="O32" s="896"/>
      <c r="P32" s="896"/>
      <c r="Q32" s="896"/>
      <c r="R32" s="896"/>
    </row>
    <row r="33" spans="1:18" ht="19.5" customHeight="1">
      <c r="A33" s="898">
        <v>2</v>
      </c>
      <c r="B33" s="901" t="s">
        <v>2113</v>
      </c>
      <c r="C33" s="896"/>
      <c r="D33" s="896"/>
      <c r="E33" s="896"/>
      <c r="F33" s="897"/>
      <c r="G33" s="899">
        <v>1</v>
      </c>
      <c r="H33" s="897"/>
      <c r="I33" s="896"/>
      <c r="J33" s="896"/>
      <c r="K33" s="896"/>
      <c r="L33" s="896"/>
      <c r="M33" s="896"/>
      <c r="N33" s="896"/>
      <c r="O33" s="896"/>
      <c r="P33" s="896"/>
      <c r="Q33" s="896"/>
      <c r="R33" s="896"/>
    </row>
    <row r="34" spans="1:18" ht="19.5" customHeight="1">
      <c r="A34" s="898">
        <v>3</v>
      </c>
      <c r="B34" s="901" t="s">
        <v>2114</v>
      </c>
      <c r="C34" s="896"/>
      <c r="D34" s="896"/>
      <c r="E34" s="896"/>
      <c r="F34" s="897"/>
      <c r="G34" s="899">
        <v>1</v>
      </c>
      <c r="H34" s="897"/>
      <c r="I34" s="896"/>
      <c r="J34" s="896"/>
      <c r="K34" s="896"/>
      <c r="L34" s="896"/>
      <c r="M34" s="896"/>
      <c r="N34" s="896"/>
      <c r="O34" s="896"/>
      <c r="P34" s="896"/>
      <c r="Q34" s="896"/>
      <c r="R34" s="896"/>
    </row>
    <row r="35" spans="1:18" ht="19.5" customHeight="1">
      <c r="A35" s="898">
        <v>4</v>
      </c>
      <c r="B35" s="901" t="s">
        <v>2115</v>
      </c>
      <c r="C35" s="896"/>
      <c r="D35" s="896"/>
      <c r="E35" s="896"/>
      <c r="F35" s="897"/>
      <c r="G35" s="899"/>
      <c r="H35" s="897">
        <v>1</v>
      </c>
      <c r="I35" s="896"/>
      <c r="J35" s="896"/>
      <c r="K35" s="896"/>
      <c r="L35" s="896"/>
      <c r="M35" s="896"/>
      <c r="N35" s="896"/>
      <c r="O35" s="896"/>
      <c r="P35" s="896"/>
      <c r="Q35" s="896"/>
      <c r="R35" s="896"/>
    </row>
    <row r="36" spans="1:18" ht="19.5" customHeight="1">
      <c r="A36" s="898">
        <v>5</v>
      </c>
      <c r="B36" s="901" t="s">
        <v>2116</v>
      </c>
      <c r="C36" s="896"/>
      <c r="D36" s="896"/>
      <c r="E36" s="896"/>
      <c r="F36" s="897"/>
      <c r="G36" s="899"/>
      <c r="H36" s="897">
        <v>1</v>
      </c>
      <c r="I36" s="896"/>
      <c r="J36" s="896"/>
      <c r="K36" s="896"/>
      <c r="L36" s="896"/>
      <c r="M36" s="896"/>
      <c r="N36" s="896"/>
      <c r="O36" s="896"/>
      <c r="P36" s="896"/>
      <c r="Q36" s="896"/>
      <c r="R36" s="896"/>
    </row>
    <row r="37" spans="1:18" ht="16.5">
      <c r="A37" s="902"/>
      <c r="B37" s="902"/>
      <c r="C37" s="902"/>
      <c r="D37" s="902"/>
      <c r="E37" s="902"/>
      <c r="F37" s="902"/>
      <c r="G37" s="902"/>
      <c r="H37" s="902"/>
      <c r="I37" s="902"/>
      <c r="J37" s="902"/>
      <c r="K37" s="902"/>
      <c r="L37" s="902"/>
      <c r="M37" s="902"/>
      <c r="N37" s="902"/>
      <c r="O37" s="902"/>
      <c r="P37" s="902"/>
      <c r="Q37" s="902"/>
      <c r="R37" s="902"/>
    </row>
    <row r="38" spans="1:18" ht="16.5">
      <c r="A38" s="902"/>
      <c r="B38" s="902"/>
      <c r="C38" s="902"/>
      <c r="D38" s="902"/>
      <c r="E38" s="902"/>
      <c r="F38" s="902"/>
      <c r="G38" s="902"/>
      <c r="H38" s="902"/>
      <c r="I38" s="902"/>
      <c r="J38" s="902"/>
      <c r="K38" s="902"/>
      <c r="L38" s="902"/>
      <c r="M38" s="902"/>
      <c r="N38" s="902"/>
      <c r="O38" s="902"/>
      <c r="P38" s="902"/>
      <c r="Q38" s="902"/>
      <c r="R38" s="902"/>
    </row>
    <row r="39" spans="1:18" ht="16.5">
      <c r="A39" s="902"/>
      <c r="B39" s="902"/>
      <c r="C39" s="902"/>
      <c r="D39" s="902"/>
      <c r="E39" s="902"/>
      <c r="F39" s="902"/>
      <c r="G39" s="902"/>
      <c r="H39" s="902"/>
      <c r="I39" s="902"/>
      <c r="J39" s="902"/>
      <c r="K39" s="902"/>
      <c r="L39" s="902"/>
      <c r="M39" s="902"/>
      <c r="N39" s="902"/>
      <c r="O39" s="902"/>
      <c r="P39" s="902"/>
      <c r="Q39" s="902"/>
      <c r="R39" s="902"/>
    </row>
    <row r="40" spans="1:18" ht="16.5">
      <c r="A40" s="902"/>
      <c r="B40" s="902"/>
      <c r="C40" s="902"/>
      <c r="D40" s="902"/>
      <c r="E40" s="902"/>
      <c r="F40" s="902"/>
      <c r="G40" s="902"/>
      <c r="H40" s="902"/>
      <c r="I40" s="902"/>
      <c r="J40" s="902"/>
      <c r="K40" s="902"/>
      <c r="L40" s="902"/>
      <c r="M40" s="902"/>
      <c r="N40" s="902"/>
      <c r="O40" s="902"/>
      <c r="P40" s="902"/>
      <c r="Q40" s="902"/>
      <c r="R40" s="902"/>
    </row>
    <row r="41" spans="1:18" ht="16.5">
      <c r="A41" s="902"/>
      <c r="B41" s="902"/>
      <c r="C41" s="902"/>
      <c r="D41" s="902"/>
      <c r="E41" s="902"/>
      <c r="F41" s="902"/>
      <c r="G41" s="902"/>
      <c r="H41" s="902"/>
      <c r="I41" s="902"/>
      <c r="J41" s="902"/>
      <c r="K41" s="902"/>
      <c r="L41" s="902"/>
      <c r="M41" s="902"/>
      <c r="N41" s="902"/>
      <c r="O41" s="902"/>
      <c r="P41" s="902"/>
      <c r="Q41" s="902"/>
      <c r="R41" s="902"/>
    </row>
    <row r="42" spans="1:18" ht="16.5">
      <c r="A42" s="902"/>
      <c r="B42" s="902"/>
      <c r="C42" s="902"/>
      <c r="D42" s="902"/>
      <c r="E42" s="902"/>
      <c r="F42" s="902"/>
      <c r="G42" s="902"/>
      <c r="H42" s="902"/>
      <c r="I42" s="902"/>
      <c r="J42" s="902"/>
      <c r="K42" s="902"/>
      <c r="L42" s="902"/>
      <c r="M42" s="902"/>
      <c r="N42" s="902"/>
      <c r="O42" s="902"/>
      <c r="P42" s="902"/>
      <c r="Q42" s="902"/>
      <c r="R42" s="902"/>
    </row>
    <row r="43" spans="1:18" ht="16.5">
      <c r="A43" s="902"/>
      <c r="B43" s="902"/>
      <c r="C43" s="902"/>
      <c r="D43" s="902"/>
      <c r="E43" s="902"/>
      <c r="F43" s="902"/>
      <c r="G43" s="902"/>
      <c r="H43" s="902"/>
      <c r="I43" s="902"/>
      <c r="J43" s="902"/>
      <c r="K43" s="902"/>
      <c r="L43" s="902"/>
      <c r="M43" s="902"/>
      <c r="N43" s="902"/>
      <c r="O43" s="902"/>
      <c r="P43" s="902"/>
      <c r="Q43" s="902"/>
      <c r="R43" s="902"/>
    </row>
    <row r="44" spans="1:18" ht="16.5">
      <c r="A44" s="902"/>
      <c r="B44" s="902"/>
      <c r="C44" s="902"/>
      <c r="D44" s="902"/>
      <c r="E44" s="902"/>
      <c r="F44" s="902"/>
      <c r="G44" s="902"/>
      <c r="H44" s="902"/>
      <c r="I44" s="902"/>
      <c r="J44" s="902"/>
      <c r="K44" s="902"/>
      <c r="L44" s="902"/>
      <c r="M44" s="902"/>
      <c r="N44" s="902"/>
      <c r="O44" s="902"/>
      <c r="P44" s="902"/>
      <c r="Q44" s="902"/>
      <c r="R44" s="902"/>
    </row>
    <row r="45" spans="1:18" ht="16.5">
      <c r="A45" s="902"/>
      <c r="B45" s="902"/>
      <c r="C45" s="902"/>
      <c r="D45" s="902"/>
      <c r="E45" s="902"/>
      <c r="F45" s="902"/>
      <c r="G45" s="902"/>
      <c r="H45" s="902"/>
      <c r="I45" s="902"/>
      <c r="J45" s="902"/>
      <c r="K45" s="902"/>
      <c r="L45" s="902"/>
      <c r="M45" s="902"/>
      <c r="N45" s="902"/>
      <c r="O45" s="902"/>
      <c r="P45" s="902"/>
      <c r="Q45" s="902"/>
      <c r="R45" s="902"/>
    </row>
    <row r="46" spans="1:18" ht="16.5">
      <c r="A46" s="902"/>
      <c r="B46" s="902"/>
      <c r="C46" s="902"/>
      <c r="D46" s="902"/>
      <c r="E46" s="902"/>
      <c r="F46" s="902"/>
      <c r="G46" s="902"/>
      <c r="H46" s="902"/>
      <c r="I46" s="902"/>
      <c r="J46" s="902"/>
      <c r="K46" s="902"/>
      <c r="L46" s="902"/>
      <c r="M46" s="902"/>
      <c r="N46" s="902"/>
      <c r="O46" s="902"/>
      <c r="P46" s="902"/>
      <c r="Q46" s="902"/>
      <c r="R46" s="902"/>
    </row>
    <row r="47" spans="1:18" ht="16.5">
      <c r="A47" s="902"/>
      <c r="B47" s="902"/>
      <c r="C47" s="902"/>
      <c r="D47" s="902"/>
      <c r="E47" s="902"/>
      <c r="F47" s="902"/>
      <c r="G47" s="902"/>
      <c r="H47" s="902"/>
      <c r="I47" s="902"/>
      <c r="J47" s="902"/>
      <c r="K47" s="902"/>
      <c r="L47" s="902"/>
      <c r="M47" s="902"/>
      <c r="N47" s="902"/>
      <c r="O47" s="902"/>
      <c r="P47" s="902"/>
      <c r="Q47" s="902"/>
      <c r="R47" s="902"/>
    </row>
    <row r="48" spans="1:18" ht="16.5">
      <c r="A48" s="902"/>
      <c r="B48" s="902"/>
      <c r="C48" s="902"/>
      <c r="D48" s="902"/>
      <c r="E48" s="902"/>
      <c r="F48" s="902"/>
      <c r="G48" s="902"/>
      <c r="H48" s="902"/>
      <c r="I48" s="902"/>
      <c r="J48" s="902"/>
      <c r="K48" s="902"/>
      <c r="L48" s="902"/>
      <c r="M48" s="902"/>
      <c r="N48" s="902"/>
      <c r="O48" s="902"/>
      <c r="P48" s="902"/>
      <c r="Q48" s="902"/>
      <c r="R48" s="902"/>
    </row>
    <row r="49" spans="1:18" ht="16.5">
      <c r="A49" s="902"/>
      <c r="B49" s="902"/>
      <c r="C49" s="902"/>
      <c r="D49" s="902"/>
      <c r="E49" s="902"/>
      <c r="F49" s="902"/>
      <c r="G49" s="902"/>
      <c r="H49" s="902"/>
      <c r="I49" s="902"/>
      <c r="J49" s="902"/>
      <c r="K49" s="902"/>
      <c r="L49" s="902"/>
      <c r="M49" s="902"/>
      <c r="N49" s="902"/>
      <c r="O49" s="902"/>
      <c r="P49" s="902"/>
      <c r="Q49" s="902"/>
      <c r="R49" s="902"/>
    </row>
    <row r="50" spans="1:18" ht="16.5">
      <c r="A50" s="902"/>
      <c r="B50" s="902"/>
      <c r="C50" s="902"/>
      <c r="D50" s="902"/>
      <c r="E50" s="902"/>
      <c r="F50" s="902"/>
      <c r="G50" s="902"/>
      <c r="H50" s="902"/>
      <c r="I50" s="902"/>
      <c r="J50" s="902"/>
      <c r="K50" s="902"/>
      <c r="L50" s="902"/>
      <c r="M50" s="902"/>
      <c r="N50" s="902"/>
      <c r="O50" s="902"/>
      <c r="P50" s="902"/>
      <c r="Q50" s="902"/>
      <c r="R50" s="902"/>
    </row>
    <row r="51" spans="1:18" ht="16.5">
      <c r="A51" s="902"/>
      <c r="B51" s="902"/>
      <c r="C51" s="902"/>
      <c r="D51" s="902"/>
      <c r="E51" s="902"/>
      <c r="F51" s="902"/>
      <c r="G51" s="902"/>
      <c r="H51" s="902"/>
      <c r="I51" s="902"/>
      <c r="J51" s="902"/>
      <c r="K51" s="902"/>
      <c r="L51" s="902"/>
      <c r="M51" s="902"/>
      <c r="N51" s="902"/>
      <c r="O51" s="902"/>
      <c r="P51" s="902"/>
      <c r="Q51" s="902"/>
      <c r="R51" s="902"/>
    </row>
    <row r="52" spans="1:18" ht="16.5">
      <c r="A52" s="902"/>
      <c r="B52" s="902"/>
      <c r="C52" s="902"/>
      <c r="D52" s="902"/>
      <c r="E52" s="902"/>
      <c r="F52" s="902"/>
      <c r="G52" s="902"/>
      <c r="H52" s="902"/>
      <c r="I52" s="902"/>
      <c r="J52" s="902"/>
      <c r="K52" s="902"/>
      <c r="L52" s="902"/>
      <c r="M52" s="902"/>
      <c r="N52" s="902"/>
      <c r="O52" s="902"/>
      <c r="P52" s="902"/>
      <c r="Q52" s="902"/>
      <c r="R52" s="902"/>
    </row>
    <row r="53" spans="1:18" ht="16.5">
      <c r="A53" s="902"/>
      <c r="B53" s="902"/>
      <c r="C53" s="902"/>
      <c r="D53" s="902"/>
      <c r="E53" s="902"/>
      <c r="F53" s="902"/>
      <c r="G53" s="902"/>
      <c r="H53" s="902"/>
      <c r="I53" s="902"/>
      <c r="J53" s="902"/>
      <c r="K53" s="902"/>
      <c r="L53" s="902"/>
      <c r="M53" s="902"/>
      <c r="N53" s="902"/>
      <c r="O53" s="902"/>
      <c r="P53" s="902"/>
      <c r="Q53" s="902"/>
      <c r="R53" s="902"/>
    </row>
    <row r="54" spans="1:18" ht="16.5">
      <c r="A54" s="902"/>
      <c r="B54" s="902"/>
      <c r="C54" s="902"/>
      <c r="D54" s="902"/>
      <c r="E54" s="902"/>
      <c r="F54" s="902"/>
      <c r="G54" s="902"/>
      <c r="H54" s="902"/>
      <c r="I54" s="902"/>
      <c r="J54" s="902"/>
      <c r="K54" s="902"/>
      <c r="L54" s="902"/>
      <c r="M54" s="902"/>
      <c r="N54" s="902"/>
      <c r="O54" s="902"/>
      <c r="P54" s="902"/>
      <c r="Q54" s="902"/>
      <c r="R54" s="902"/>
    </row>
    <row r="55" spans="1:18" ht="16.5">
      <c r="A55" s="902"/>
      <c r="B55" s="902"/>
      <c r="C55" s="902"/>
      <c r="D55" s="902"/>
      <c r="E55" s="902"/>
      <c r="F55" s="902"/>
      <c r="G55" s="902"/>
      <c r="H55" s="902"/>
      <c r="I55" s="902"/>
      <c r="J55" s="902"/>
      <c r="K55" s="902"/>
      <c r="L55" s="902"/>
      <c r="M55" s="902"/>
      <c r="N55" s="902"/>
      <c r="O55" s="902"/>
      <c r="P55" s="902"/>
      <c r="Q55" s="902"/>
      <c r="R55" s="902"/>
    </row>
    <row r="56" spans="1:18" ht="16.5">
      <c r="A56" s="902"/>
      <c r="B56" s="902"/>
      <c r="C56" s="902"/>
      <c r="D56" s="902"/>
      <c r="E56" s="902"/>
      <c r="F56" s="902"/>
      <c r="G56" s="902"/>
      <c r="H56" s="902"/>
      <c r="I56" s="902"/>
      <c r="J56" s="902"/>
      <c r="K56" s="902"/>
      <c r="L56" s="902"/>
      <c r="M56" s="902"/>
      <c r="N56" s="902"/>
      <c r="O56" s="902"/>
      <c r="P56" s="902"/>
      <c r="Q56" s="902"/>
      <c r="R56" s="902"/>
    </row>
    <row r="57" spans="1:18" ht="16.5">
      <c r="A57" s="902"/>
      <c r="B57" s="902"/>
      <c r="C57" s="902"/>
      <c r="D57" s="902"/>
      <c r="E57" s="902"/>
      <c r="F57" s="902"/>
      <c r="G57" s="902"/>
      <c r="H57" s="902"/>
      <c r="I57" s="902"/>
      <c r="J57" s="902"/>
      <c r="K57" s="902"/>
      <c r="L57" s="902"/>
      <c r="M57" s="902"/>
      <c r="N57" s="902"/>
      <c r="O57" s="902"/>
      <c r="P57" s="902"/>
      <c r="Q57" s="902"/>
      <c r="R57" s="902"/>
    </row>
    <row r="58" spans="1:18" ht="16.5">
      <c r="A58" s="902"/>
      <c r="B58" s="902"/>
      <c r="C58" s="902"/>
      <c r="D58" s="902"/>
      <c r="E58" s="902"/>
      <c r="F58" s="902"/>
      <c r="G58" s="902"/>
      <c r="H58" s="902"/>
      <c r="I58" s="902"/>
      <c r="J58" s="902"/>
      <c r="K58" s="902"/>
      <c r="L58" s="902"/>
      <c r="M58" s="902"/>
      <c r="N58" s="902"/>
      <c r="O58" s="902"/>
      <c r="P58" s="902"/>
      <c r="Q58" s="902"/>
      <c r="R58" s="902"/>
    </row>
    <row r="59" spans="1:18" ht="16.5">
      <c r="A59" s="902"/>
      <c r="B59" s="902"/>
      <c r="C59" s="902"/>
      <c r="D59" s="902"/>
      <c r="E59" s="902"/>
      <c r="F59" s="902"/>
      <c r="G59" s="902"/>
      <c r="H59" s="902"/>
      <c r="I59" s="902"/>
      <c r="J59" s="902"/>
      <c r="K59" s="902"/>
      <c r="L59" s="902"/>
      <c r="M59" s="902"/>
      <c r="N59" s="902"/>
      <c r="O59" s="902"/>
      <c r="P59" s="902"/>
      <c r="Q59" s="902"/>
      <c r="R59" s="902"/>
    </row>
    <row r="60" spans="1:18" ht="16.5">
      <c r="A60" s="902"/>
      <c r="B60" s="902"/>
      <c r="C60" s="902"/>
      <c r="D60" s="902"/>
      <c r="E60" s="902"/>
      <c r="F60" s="902"/>
      <c r="G60" s="902"/>
      <c r="H60" s="902"/>
      <c r="I60" s="902"/>
      <c r="J60" s="902"/>
      <c r="K60" s="902"/>
      <c r="L60" s="902"/>
      <c r="M60" s="902"/>
      <c r="N60" s="902"/>
      <c r="O60" s="902"/>
      <c r="P60" s="902"/>
      <c r="Q60" s="902"/>
      <c r="R60" s="902"/>
    </row>
    <row r="61" spans="1:18" ht="16.5">
      <c r="A61" s="902"/>
      <c r="B61" s="902"/>
      <c r="C61" s="902"/>
      <c r="D61" s="902"/>
      <c r="E61" s="902"/>
      <c r="F61" s="902"/>
      <c r="G61" s="902"/>
      <c r="H61" s="902"/>
      <c r="I61" s="902"/>
      <c r="J61" s="902"/>
      <c r="K61" s="902"/>
      <c r="L61" s="902"/>
      <c r="M61" s="902"/>
      <c r="N61" s="902"/>
      <c r="O61" s="902"/>
      <c r="P61" s="902"/>
      <c r="Q61" s="902"/>
      <c r="R61" s="902"/>
    </row>
    <row r="62" spans="1:18" ht="16.5">
      <c r="A62" s="902"/>
      <c r="B62" s="902"/>
      <c r="C62" s="902"/>
      <c r="D62" s="902"/>
      <c r="E62" s="902"/>
      <c r="F62" s="902"/>
      <c r="G62" s="902"/>
      <c r="H62" s="902"/>
      <c r="I62" s="902"/>
      <c r="J62" s="902"/>
      <c r="K62" s="902"/>
      <c r="L62" s="902"/>
      <c r="M62" s="902"/>
      <c r="N62" s="902"/>
      <c r="O62" s="902"/>
      <c r="P62" s="902"/>
      <c r="Q62" s="902"/>
      <c r="R62" s="902"/>
    </row>
    <row r="63" spans="1:18" ht="16.5">
      <c r="A63" s="902"/>
      <c r="B63" s="902"/>
      <c r="C63" s="902"/>
      <c r="D63" s="902"/>
      <c r="E63" s="902"/>
      <c r="F63" s="902"/>
      <c r="G63" s="902"/>
      <c r="H63" s="902"/>
      <c r="I63" s="902"/>
      <c r="J63" s="902"/>
      <c r="K63" s="902"/>
      <c r="L63" s="902"/>
      <c r="M63" s="902"/>
      <c r="N63" s="902"/>
      <c r="O63" s="902"/>
      <c r="P63" s="902"/>
      <c r="Q63" s="902"/>
      <c r="R63" s="902"/>
    </row>
    <row r="64" spans="1:18" ht="16.5">
      <c r="A64" s="902"/>
      <c r="B64" s="902"/>
      <c r="C64" s="902"/>
      <c r="D64" s="902"/>
      <c r="E64" s="902"/>
      <c r="F64" s="902"/>
      <c r="G64" s="902"/>
      <c r="H64" s="902"/>
      <c r="I64" s="902"/>
      <c r="J64" s="902"/>
      <c r="K64" s="902"/>
      <c r="L64" s="902"/>
      <c r="M64" s="902"/>
      <c r="N64" s="902"/>
      <c r="O64" s="902"/>
      <c r="P64" s="902"/>
      <c r="Q64" s="902"/>
      <c r="R64" s="902"/>
    </row>
    <row r="65" spans="1:18" ht="16.5">
      <c r="A65" s="902"/>
      <c r="B65" s="902"/>
      <c r="C65" s="902"/>
      <c r="D65" s="902"/>
      <c r="E65" s="902"/>
      <c r="F65" s="902"/>
      <c r="G65" s="902"/>
      <c r="H65" s="902"/>
      <c r="I65" s="902"/>
      <c r="J65" s="902"/>
      <c r="K65" s="902"/>
      <c r="L65" s="902"/>
      <c r="M65" s="902"/>
      <c r="N65" s="902"/>
      <c r="O65" s="902"/>
      <c r="P65" s="902"/>
      <c r="Q65" s="902"/>
      <c r="R65" s="902"/>
    </row>
  </sheetData>
  <sheetProtection/>
  <mergeCells count="6">
    <mergeCell ref="A1:P1"/>
    <mergeCell ref="C5:J5"/>
    <mergeCell ref="A4:A6"/>
    <mergeCell ref="B4:B6"/>
    <mergeCell ref="K5:R5"/>
    <mergeCell ref="C4:R4"/>
  </mergeCells>
  <printOptions/>
  <pageMargins left="0.4724409448818898" right="0.3937007874015748" top="0.3937007874015748" bottom="0.2362204724409449" header="0.31496062992125984" footer="0.1574803149606299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51"/>
  <sheetViews>
    <sheetView zoomScalePageLayoutView="0" workbookViewId="0" topLeftCell="A1">
      <pane xSplit="3" ySplit="6" topLeftCell="D16" activePane="bottomRight" state="frozen"/>
      <selection pane="topLeft" activeCell="A1" sqref="A1"/>
      <selection pane="topRight" activeCell="D1" sqref="D1"/>
      <selection pane="bottomLeft" activeCell="A7" sqref="A7"/>
      <selection pane="bottomRight" activeCell="J55" sqref="J55"/>
    </sheetView>
  </sheetViews>
  <sheetFormatPr defaultColWidth="8.796875" defaultRowHeight="15"/>
  <cols>
    <col min="1" max="1" width="4.19921875" style="614" customWidth="1"/>
    <col min="2" max="2" width="20.09765625" style="614" customWidth="1"/>
    <col min="3" max="4" width="6.8984375" style="614" customWidth="1"/>
    <col min="5" max="5" width="6.59765625" style="614" customWidth="1"/>
    <col min="6" max="6" width="5.69921875" style="614" customWidth="1"/>
    <col min="7" max="7" width="6.3984375" style="614" customWidth="1"/>
    <col min="8" max="9" width="5.5" style="614" customWidth="1"/>
    <col min="10" max="10" width="5.3984375" style="614" customWidth="1"/>
    <col min="11" max="11" width="5.5" style="614" customWidth="1"/>
    <col min="12" max="12" width="6.59765625" style="614" customWidth="1"/>
    <col min="13" max="13" width="5.09765625" style="614" customWidth="1"/>
    <col min="14" max="14" width="6" style="614" customWidth="1"/>
    <col min="15" max="16" width="6.09765625" style="614" customWidth="1"/>
    <col min="17" max="18" width="5.5" style="614" customWidth="1"/>
    <col min="19" max="19" width="6" style="614" customWidth="1"/>
    <col min="20" max="20" width="5.8984375" style="614" customWidth="1"/>
    <col min="21" max="21" width="6" style="614" customWidth="1"/>
    <col min="22" max="22" width="6.5" style="614" customWidth="1"/>
    <col min="23" max="16384" width="9" style="614" customWidth="1"/>
  </cols>
  <sheetData>
    <row r="1" spans="1:22" ht="15.75">
      <c r="A1" s="1409" t="s">
        <v>1352</v>
      </c>
      <c r="B1" s="1409"/>
      <c r="C1" s="1409"/>
      <c r="D1" s="1409"/>
      <c r="E1" s="1409"/>
      <c r="F1" s="1409"/>
      <c r="G1" s="1409"/>
      <c r="H1" s="1409"/>
      <c r="I1" s="1409"/>
      <c r="J1" s="1409"/>
      <c r="K1" s="1409"/>
      <c r="L1" s="1409"/>
      <c r="M1" s="1409"/>
      <c r="N1" s="1409"/>
      <c r="O1" s="1409"/>
      <c r="P1" s="1409"/>
      <c r="Q1" s="1409"/>
      <c r="R1" s="1409"/>
      <c r="S1" s="1409"/>
      <c r="T1" s="1409"/>
      <c r="U1" s="1409"/>
      <c r="V1" s="1409"/>
    </row>
    <row r="2" spans="1:22" s="737" customFormat="1" ht="18" customHeight="1">
      <c r="A2" s="731" t="s">
        <v>2315</v>
      </c>
      <c r="B2" s="735"/>
      <c r="C2" s="735"/>
      <c r="D2" s="735"/>
      <c r="E2" s="735"/>
      <c r="F2" s="735"/>
      <c r="G2" s="735"/>
      <c r="H2" s="735"/>
      <c r="I2" s="735"/>
      <c r="J2" s="735"/>
      <c r="K2" s="735"/>
      <c r="L2" s="735"/>
      <c r="M2" s="735"/>
      <c r="N2" s="735"/>
      <c r="O2" s="735"/>
      <c r="P2" s="735"/>
      <c r="Q2" s="735"/>
      <c r="R2" s="735"/>
      <c r="S2" s="735"/>
      <c r="T2" s="735"/>
      <c r="U2" s="735"/>
      <c r="V2" s="735"/>
    </row>
    <row r="3" ht="12.75" customHeight="1"/>
    <row r="4" spans="1:22" ht="18.75" customHeight="1">
      <c r="A4" s="1546" t="s">
        <v>488</v>
      </c>
      <c r="B4" s="1546" t="s">
        <v>729</v>
      </c>
      <c r="C4" s="1546" t="s">
        <v>730</v>
      </c>
      <c r="D4" s="1546" t="s">
        <v>727</v>
      </c>
      <c r="E4" s="1546" t="s">
        <v>731</v>
      </c>
      <c r="F4" s="1546"/>
      <c r="G4" s="1546"/>
      <c r="H4" s="1546"/>
      <c r="I4" s="1546"/>
      <c r="J4" s="1546"/>
      <c r="K4" s="1546"/>
      <c r="L4" s="1546"/>
      <c r="M4" s="1546" t="s">
        <v>1246</v>
      </c>
      <c r="N4" s="1546"/>
      <c r="O4" s="1546"/>
      <c r="P4" s="1546"/>
      <c r="Q4" s="1546" t="s">
        <v>1247</v>
      </c>
      <c r="R4" s="1546"/>
      <c r="S4" s="1546"/>
      <c r="T4" s="1546"/>
      <c r="U4" s="1546" t="s">
        <v>1248</v>
      </c>
      <c r="V4" s="1546"/>
    </row>
    <row r="5" spans="1:22" ht="51.75" customHeight="1">
      <c r="A5" s="1546"/>
      <c r="B5" s="1546"/>
      <c r="C5" s="1546"/>
      <c r="D5" s="1546"/>
      <c r="E5" s="1546" t="s">
        <v>1484</v>
      </c>
      <c r="F5" s="1546"/>
      <c r="G5" s="1546" t="s">
        <v>1485</v>
      </c>
      <c r="H5" s="1546"/>
      <c r="I5" s="1546" t="s">
        <v>1454</v>
      </c>
      <c r="J5" s="1546"/>
      <c r="K5" s="1546"/>
      <c r="L5" s="1546"/>
      <c r="M5" s="1546"/>
      <c r="N5" s="1546"/>
      <c r="O5" s="1546"/>
      <c r="P5" s="1546"/>
      <c r="Q5" s="1546"/>
      <c r="R5" s="1546"/>
      <c r="S5" s="1546"/>
      <c r="T5" s="1546"/>
      <c r="U5" s="1546"/>
      <c r="V5" s="1546"/>
    </row>
    <row r="6" spans="1:22" ht="91.5" customHeight="1">
      <c r="A6" s="1546"/>
      <c r="B6" s="1546"/>
      <c r="C6" s="1546"/>
      <c r="D6" s="1546"/>
      <c r="E6" s="638" t="s">
        <v>728</v>
      </c>
      <c r="F6" s="638" t="s">
        <v>494</v>
      </c>
      <c r="G6" s="638" t="s">
        <v>728</v>
      </c>
      <c r="H6" s="638" t="s">
        <v>494</v>
      </c>
      <c r="I6" s="638" t="s">
        <v>1170</v>
      </c>
      <c r="J6" s="638" t="s">
        <v>736</v>
      </c>
      <c r="K6" s="638" t="s">
        <v>737</v>
      </c>
      <c r="L6" s="638" t="s">
        <v>1378</v>
      </c>
      <c r="M6" s="638" t="s">
        <v>739</v>
      </c>
      <c r="N6" s="638" t="s">
        <v>1276</v>
      </c>
      <c r="O6" s="638" t="s">
        <v>1244</v>
      </c>
      <c r="P6" s="638" t="s">
        <v>1449</v>
      </c>
      <c r="Q6" s="638" t="s">
        <v>1278</v>
      </c>
      <c r="R6" s="638" t="s">
        <v>1277</v>
      </c>
      <c r="S6" s="638" t="s">
        <v>1245</v>
      </c>
      <c r="T6" s="638" t="s">
        <v>1446</v>
      </c>
      <c r="U6" s="638" t="s">
        <v>1249</v>
      </c>
      <c r="V6" s="638" t="s">
        <v>1250</v>
      </c>
    </row>
    <row r="7" spans="1:22" s="651" customFormat="1" ht="18" customHeight="1">
      <c r="A7" s="1542" t="s">
        <v>1386</v>
      </c>
      <c r="B7" s="1542"/>
      <c r="C7" s="1542"/>
      <c r="D7" s="1542"/>
      <c r="E7" s="1542"/>
      <c r="F7" s="1542"/>
      <c r="G7" s="1542"/>
      <c r="H7" s="1542"/>
      <c r="I7" s="1542"/>
      <c r="J7" s="1542"/>
      <c r="K7" s="1542"/>
      <c r="L7" s="1542"/>
      <c r="M7" s="1542"/>
      <c r="N7" s="1542"/>
      <c r="O7" s="1542"/>
      <c r="P7" s="1542"/>
      <c r="Q7" s="228"/>
      <c r="R7" s="228"/>
      <c r="S7" s="228"/>
      <c r="T7" s="226"/>
      <c r="U7" s="781"/>
      <c r="V7" s="633"/>
    </row>
    <row r="8" spans="1:22" s="651" customFormat="1" ht="18" customHeight="1">
      <c r="A8" s="727">
        <v>1</v>
      </c>
      <c r="B8" s="630" t="s">
        <v>760</v>
      </c>
      <c r="C8" s="632"/>
      <c r="D8" s="631"/>
      <c r="E8" s="903"/>
      <c r="F8" s="904"/>
      <c r="G8" s="903"/>
      <c r="H8" s="904"/>
      <c r="I8" s="817"/>
      <c r="J8" s="817"/>
      <c r="K8" s="817"/>
      <c r="L8" s="904"/>
      <c r="M8" s="819"/>
      <c r="N8" s="652"/>
      <c r="O8" s="652"/>
      <c r="P8" s="653"/>
      <c r="Q8" s="228"/>
      <c r="R8" s="228"/>
      <c r="S8" s="228"/>
      <c r="T8" s="226"/>
      <c r="U8" s="781"/>
      <c r="V8" s="633"/>
    </row>
    <row r="9" spans="1:22" ht="19.5" customHeight="1">
      <c r="A9" s="1542" t="s">
        <v>1422</v>
      </c>
      <c r="B9" s="1542"/>
      <c r="C9" s="1542"/>
      <c r="D9" s="1542"/>
      <c r="E9" s="1542"/>
      <c r="F9" s="1542"/>
      <c r="G9" s="1542"/>
      <c r="H9" s="1542"/>
      <c r="I9" s="1542"/>
      <c r="J9" s="1542"/>
      <c r="K9" s="1542"/>
      <c r="L9" s="1542"/>
      <c r="M9" s="1542"/>
      <c r="N9" s="1542"/>
      <c r="O9" s="1542"/>
      <c r="P9" s="1542"/>
      <c r="Q9" s="228"/>
      <c r="R9" s="228"/>
      <c r="S9" s="228"/>
      <c r="T9" s="226"/>
      <c r="U9" s="781"/>
      <c r="V9" s="633"/>
    </row>
    <row r="10" spans="1:22" ht="24" customHeight="1">
      <c r="A10" s="508">
        <v>1</v>
      </c>
      <c r="B10" s="849" t="s">
        <v>2117</v>
      </c>
      <c r="C10" s="905">
        <v>568</v>
      </c>
      <c r="D10" s="905">
        <v>2158</v>
      </c>
      <c r="E10" s="906">
        <v>443</v>
      </c>
      <c r="F10" s="907">
        <v>78</v>
      </c>
      <c r="G10" s="908">
        <v>461</v>
      </c>
      <c r="H10" s="909">
        <f>G10*100/C10</f>
        <v>81.16197183098592</v>
      </c>
      <c r="I10" s="908">
        <v>29</v>
      </c>
      <c r="J10" s="908">
        <v>0</v>
      </c>
      <c r="K10" s="908">
        <v>50</v>
      </c>
      <c r="L10" s="908">
        <f>K10+J10+I10</f>
        <v>79</v>
      </c>
      <c r="M10" s="917">
        <v>2</v>
      </c>
      <c r="N10" s="917">
        <v>2</v>
      </c>
      <c r="O10" s="913">
        <v>100</v>
      </c>
      <c r="P10" s="754"/>
      <c r="Q10" s="915">
        <v>1</v>
      </c>
      <c r="R10" s="915">
        <v>1</v>
      </c>
      <c r="S10" s="915">
        <v>100</v>
      </c>
      <c r="T10" s="226"/>
      <c r="U10" s="781"/>
      <c r="V10" s="633"/>
    </row>
    <row r="11" spans="1:22" s="651" customFormat="1" ht="18.75" customHeight="1">
      <c r="A11" s="1542" t="s">
        <v>1435</v>
      </c>
      <c r="B11" s="1542"/>
      <c r="C11" s="1542"/>
      <c r="D11" s="1542"/>
      <c r="E11" s="1542"/>
      <c r="F11" s="1542"/>
      <c r="G11" s="1542"/>
      <c r="H11" s="1542"/>
      <c r="I11" s="1542"/>
      <c r="J11" s="1542"/>
      <c r="K11" s="1542"/>
      <c r="L11" s="1542"/>
      <c r="M11" s="1542"/>
      <c r="N11" s="1542"/>
      <c r="O11" s="1542"/>
      <c r="P11" s="1542"/>
      <c r="Q11" s="228"/>
      <c r="R11" s="228"/>
      <c r="S11" s="228"/>
      <c r="T11" s="226"/>
      <c r="U11" s="781"/>
      <c r="V11" s="633"/>
    </row>
    <row r="12" spans="1:22" s="651" customFormat="1" ht="22.5" customHeight="1">
      <c r="A12" s="508">
        <v>1</v>
      </c>
      <c r="B12" s="849" t="s">
        <v>2118</v>
      </c>
      <c r="C12" s="910">
        <v>661</v>
      </c>
      <c r="D12" s="910">
        <v>2839</v>
      </c>
      <c r="E12" s="911">
        <f>F12*C12/100</f>
        <v>534.749</v>
      </c>
      <c r="F12" s="907">
        <v>80.9</v>
      </c>
      <c r="G12" s="912">
        <v>536</v>
      </c>
      <c r="H12" s="909">
        <f>G12*100/C12</f>
        <v>81.089258698941</v>
      </c>
      <c r="I12" s="908">
        <v>34</v>
      </c>
      <c r="J12" s="908">
        <v>0</v>
      </c>
      <c r="K12" s="908">
        <v>50</v>
      </c>
      <c r="L12" s="908">
        <f>K12+J12+I12</f>
        <v>84</v>
      </c>
      <c r="M12" s="913">
        <v>3</v>
      </c>
      <c r="N12" s="914">
        <v>3</v>
      </c>
      <c r="O12" s="913">
        <v>100</v>
      </c>
      <c r="P12" s="754"/>
      <c r="Q12" s="915">
        <v>1</v>
      </c>
      <c r="R12" s="915">
        <v>1</v>
      </c>
      <c r="S12" s="915">
        <v>100</v>
      </c>
      <c r="T12" s="226"/>
      <c r="U12" s="781"/>
      <c r="V12" s="633"/>
    </row>
    <row r="13" spans="1:22" s="651" customFormat="1" ht="24.75" customHeight="1">
      <c r="A13" s="508">
        <v>2</v>
      </c>
      <c r="B13" s="849" t="s">
        <v>2152</v>
      </c>
      <c r="C13" s="910">
        <v>458</v>
      </c>
      <c r="D13" s="910">
        <v>1830</v>
      </c>
      <c r="E13" s="911">
        <f>F13*C13/100</f>
        <v>322.432</v>
      </c>
      <c r="F13" s="907">
        <v>70.4</v>
      </c>
      <c r="G13" s="912">
        <v>400</v>
      </c>
      <c r="H13" s="909">
        <f>G13*100/C13</f>
        <v>87.33624454148472</v>
      </c>
      <c r="I13" s="912">
        <v>44</v>
      </c>
      <c r="J13" s="908">
        <v>0</v>
      </c>
      <c r="K13" s="908">
        <v>115</v>
      </c>
      <c r="L13" s="908">
        <f>K13+J13+I13</f>
        <v>159</v>
      </c>
      <c r="M13" s="913">
        <v>3</v>
      </c>
      <c r="N13" s="913">
        <v>3</v>
      </c>
      <c r="O13" s="913">
        <v>100</v>
      </c>
      <c r="P13" s="754"/>
      <c r="Q13" s="915">
        <v>1</v>
      </c>
      <c r="R13" s="915">
        <v>1</v>
      </c>
      <c r="S13" s="915">
        <v>100</v>
      </c>
      <c r="T13" s="226"/>
      <c r="U13" s="781"/>
      <c r="V13" s="633"/>
    </row>
    <row r="14" spans="1:22" s="651" customFormat="1" ht="30" customHeight="1">
      <c r="A14" s="508">
        <v>3</v>
      </c>
      <c r="B14" s="916" t="s">
        <v>2119</v>
      </c>
      <c r="C14" s="910">
        <v>494</v>
      </c>
      <c r="D14" s="910">
        <v>1871</v>
      </c>
      <c r="E14" s="911">
        <f>F14*C14/100</f>
        <v>422.37</v>
      </c>
      <c r="F14" s="907">
        <v>85.5</v>
      </c>
      <c r="G14" s="912">
        <v>489</v>
      </c>
      <c r="H14" s="909">
        <v>99</v>
      </c>
      <c r="I14" s="912">
        <v>50</v>
      </c>
      <c r="J14" s="908">
        <v>40</v>
      </c>
      <c r="K14" s="908">
        <v>100</v>
      </c>
      <c r="L14" s="908">
        <f>K14+J14+I14</f>
        <v>190</v>
      </c>
      <c r="M14" s="917">
        <v>2</v>
      </c>
      <c r="N14" s="917">
        <v>2</v>
      </c>
      <c r="O14" s="913">
        <v>100</v>
      </c>
      <c r="P14" s="754"/>
      <c r="Q14" s="915">
        <v>1</v>
      </c>
      <c r="R14" s="915">
        <v>1</v>
      </c>
      <c r="S14" s="915">
        <v>100</v>
      </c>
      <c r="T14" s="226"/>
      <c r="U14" s="781"/>
      <c r="V14" s="633"/>
    </row>
    <row r="15" spans="1:22" s="651" customFormat="1" ht="18" customHeight="1">
      <c r="A15" s="508">
        <v>4</v>
      </c>
      <c r="B15" s="849" t="s">
        <v>2120</v>
      </c>
      <c r="C15" s="910">
        <v>871</v>
      </c>
      <c r="D15" s="910">
        <v>3549</v>
      </c>
      <c r="E15" s="911">
        <f>C15*F15/100</f>
        <v>768.222</v>
      </c>
      <c r="F15" s="907">
        <v>88.2</v>
      </c>
      <c r="G15" s="912">
        <v>570</v>
      </c>
      <c r="H15" s="909">
        <f>G15*100/C15</f>
        <v>65.44202066590127</v>
      </c>
      <c r="I15" s="912">
        <v>49</v>
      </c>
      <c r="J15" s="908">
        <v>0</v>
      </c>
      <c r="K15" s="908">
        <v>100</v>
      </c>
      <c r="L15" s="908">
        <f>K15+J15+I15</f>
        <v>149</v>
      </c>
      <c r="M15" s="917">
        <v>4</v>
      </c>
      <c r="N15" s="917">
        <v>4</v>
      </c>
      <c r="O15" s="913">
        <v>100</v>
      </c>
      <c r="P15" s="754"/>
      <c r="Q15" s="915">
        <v>1</v>
      </c>
      <c r="R15" s="915">
        <v>1</v>
      </c>
      <c r="S15" s="915">
        <v>100</v>
      </c>
      <c r="T15" s="226"/>
      <c r="U15" s="781"/>
      <c r="V15" s="633"/>
    </row>
    <row r="16" spans="1:22" s="651" customFormat="1" ht="21.75" customHeight="1">
      <c r="A16" s="1542" t="s">
        <v>1483</v>
      </c>
      <c r="B16" s="1542"/>
      <c r="C16" s="1542"/>
      <c r="D16" s="1542"/>
      <c r="E16" s="1542"/>
      <c r="F16" s="1542"/>
      <c r="G16" s="1542"/>
      <c r="H16" s="1542"/>
      <c r="I16" s="1542"/>
      <c r="J16" s="1542"/>
      <c r="K16" s="1542"/>
      <c r="L16" s="1542"/>
      <c r="M16" s="1542"/>
      <c r="N16" s="1542"/>
      <c r="O16" s="1542"/>
      <c r="P16" s="1542"/>
      <c r="Q16" s="228"/>
      <c r="R16" s="228"/>
      <c r="S16" s="228"/>
      <c r="T16" s="226"/>
      <c r="U16" s="781"/>
      <c r="V16" s="633"/>
    </row>
    <row r="17" spans="1:22" s="651" customFormat="1" ht="18" customHeight="1">
      <c r="A17" s="508">
        <v>1</v>
      </c>
      <c r="B17" s="849" t="s">
        <v>2121</v>
      </c>
      <c r="C17" s="910">
        <v>544</v>
      </c>
      <c r="D17" s="910">
        <v>3338</v>
      </c>
      <c r="E17" s="911">
        <f>C17*F17/100</f>
        <v>380.8</v>
      </c>
      <c r="F17" s="907">
        <v>70</v>
      </c>
      <c r="G17" s="912">
        <v>426</v>
      </c>
      <c r="H17" s="918">
        <v>85</v>
      </c>
      <c r="I17" s="912">
        <v>70</v>
      </c>
      <c r="J17" s="908">
        <v>0</v>
      </c>
      <c r="K17" s="908">
        <v>70</v>
      </c>
      <c r="L17" s="908">
        <f aca="true" t="shared" si="0" ref="L17:L27">K17+J17+I17</f>
        <v>140</v>
      </c>
      <c r="M17" s="917">
        <v>2</v>
      </c>
      <c r="N17" s="917">
        <v>2</v>
      </c>
      <c r="O17" s="913">
        <v>100</v>
      </c>
      <c r="P17" s="754"/>
      <c r="Q17" s="915">
        <v>1</v>
      </c>
      <c r="R17" s="915">
        <v>1</v>
      </c>
      <c r="S17" s="915">
        <v>100</v>
      </c>
      <c r="T17" s="226"/>
      <c r="U17" s="781"/>
      <c r="V17" s="633"/>
    </row>
    <row r="18" spans="1:22" s="651" customFormat="1" ht="18" customHeight="1">
      <c r="A18" s="508">
        <v>2</v>
      </c>
      <c r="B18" s="849" t="s">
        <v>2122</v>
      </c>
      <c r="C18" s="919">
        <v>1006</v>
      </c>
      <c r="D18" s="919">
        <v>4050</v>
      </c>
      <c r="E18" s="911">
        <f aca="true" t="shared" si="1" ref="E18:E29">C18*F18/100</f>
        <v>704.2</v>
      </c>
      <c r="F18" s="907">
        <v>70</v>
      </c>
      <c r="G18" s="912">
        <v>804</v>
      </c>
      <c r="H18" s="918">
        <v>80</v>
      </c>
      <c r="I18" s="920">
        <v>65</v>
      </c>
      <c r="J18" s="908">
        <v>0</v>
      </c>
      <c r="K18" s="908">
        <v>120</v>
      </c>
      <c r="L18" s="908">
        <f t="shared" si="0"/>
        <v>185</v>
      </c>
      <c r="M18" s="917">
        <v>3</v>
      </c>
      <c r="N18" s="917">
        <v>3</v>
      </c>
      <c r="O18" s="913">
        <v>100</v>
      </c>
      <c r="P18" s="754"/>
      <c r="Q18" s="915">
        <v>1</v>
      </c>
      <c r="R18" s="915">
        <v>1</v>
      </c>
      <c r="S18" s="915">
        <v>100</v>
      </c>
      <c r="T18" s="226"/>
      <c r="U18" s="781"/>
      <c r="V18" s="633"/>
    </row>
    <row r="19" spans="1:22" s="651" customFormat="1" ht="18" customHeight="1">
      <c r="A19" s="508">
        <v>3</v>
      </c>
      <c r="B19" s="916" t="s">
        <v>2123</v>
      </c>
      <c r="C19" s="921">
        <v>538</v>
      </c>
      <c r="D19" s="921">
        <v>2155</v>
      </c>
      <c r="E19" s="911">
        <f t="shared" si="1"/>
        <v>462.68</v>
      </c>
      <c r="F19" s="907">
        <v>86</v>
      </c>
      <c r="G19" s="912">
        <v>532</v>
      </c>
      <c r="H19" s="918">
        <v>99</v>
      </c>
      <c r="I19" s="912">
        <v>73</v>
      </c>
      <c r="J19" s="908">
        <v>0</v>
      </c>
      <c r="K19" s="908">
        <v>50</v>
      </c>
      <c r="L19" s="908">
        <f t="shared" si="0"/>
        <v>123</v>
      </c>
      <c r="M19" s="922">
        <v>3</v>
      </c>
      <c r="N19" s="917">
        <v>3</v>
      </c>
      <c r="O19" s="913">
        <v>100</v>
      </c>
      <c r="P19" s="922"/>
      <c r="Q19" s="915">
        <v>1</v>
      </c>
      <c r="R19" s="915">
        <v>1</v>
      </c>
      <c r="S19" s="915">
        <v>100</v>
      </c>
      <c r="T19" s="226"/>
      <c r="U19" s="781"/>
      <c r="V19" s="633"/>
    </row>
    <row r="20" spans="1:22" s="651" customFormat="1" ht="18" customHeight="1">
      <c r="A20" s="508">
        <v>4</v>
      </c>
      <c r="B20" s="923" t="s">
        <v>2124</v>
      </c>
      <c r="C20" s="924">
        <v>781</v>
      </c>
      <c r="D20" s="923">
        <v>3404</v>
      </c>
      <c r="E20" s="911">
        <f t="shared" si="1"/>
        <v>546.7</v>
      </c>
      <c r="F20" s="907">
        <v>70</v>
      </c>
      <c r="G20" s="912">
        <v>663</v>
      </c>
      <c r="H20" s="918">
        <v>85</v>
      </c>
      <c r="I20" s="925">
        <v>105</v>
      </c>
      <c r="J20" s="925">
        <v>0</v>
      </c>
      <c r="K20" s="925">
        <v>54</v>
      </c>
      <c r="L20" s="908">
        <f t="shared" si="0"/>
        <v>159</v>
      </c>
      <c r="M20" s="922">
        <v>3</v>
      </c>
      <c r="N20" s="917">
        <v>3</v>
      </c>
      <c r="O20" s="913">
        <v>100</v>
      </c>
      <c r="P20" s="922"/>
      <c r="Q20" s="915">
        <v>1</v>
      </c>
      <c r="R20" s="915">
        <v>1</v>
      </c>
      <c r="S20" s="915">
        <v>100</v>
      </c>
      <c r="T20" s="226"/>
      <c r="U20" s="781"/>
      <c r="V20" s="633"/>
    </row>
    <row r="21" spans="1:22" s="651" customFormat="1" ht="18" customHeight="1">
      <c r="A21" s="508">
        <v>5</v>
      </c>
      <c r="B21" s="849" t="s">
        <v>2125</v>
      </c>
      <c r="C21" s="910">
        <v>938</v>
      </c>
      <c r="D21" s="910">
        <v>3769</v>
      </c>
      <c r="E21" s="911">
        <f t="shared" si="1"/>
        <v>703.5</v>
      </c>
      <c r="F21" s="907">
        <v>75</v>
      </c>
      <c r="G21" s="912">
        <v>839</v>
      </c>
      <c r="H21" s="918">
        <v>89.5</v>
      </c>
      <c r="I21" s="912">
        <v>180</v>
      </c>
      <c r="J21" s="908">
        <v>0</v>
      </c>
      <c r="K21" s="908">
        <v>80</v>
      </c>
      <c r="L21" s="908">
        <f t="shared" si="0"/>
        <v>260</v>
      </c>
      <c r="M21" s="922">
        <v>3</v>
      </c>
      <c r="N21" s="917">
        <v>3</v>
      </c>
      <c r="O21" s="913">
        <v>100</v>
      </c>
      <c r="P21" s="922"/>
      <c r="Q21" s="915">
        <v>1</v>
      </c>
      <c r="R21" s="915">
        <v>1</v>
      </c>
      <c r="S21" s="915">
        <v>100</v>
      </c>
      <c r="T21" s="226"/>
      <c r="U21" s="781"/>
      <c r="V21" s="633"/>
    </row>
    <row r="22" spans="1:22" s="651" customFormat="1" ht="26.25" customHeight="1">
      <c r="A22" s="508">
        <v>6</v>
      </c>
      <c r="B22" s="849" t="s">
        <v>2126</v>
      </c>
      <c r="C22" s="905">
        <v>625</v>
      </c>
      <c r="D22" s="905">
        <v>2666</v>
      </c>
      <c r="E22" s="911">
        <f t="shared" si="1"/>
        <v>503.75</v>
      </c>
      <c r="F22" s="907">
        <v>80.6</v>
      </c>
      <c r="G22" s="912">
        <v>625</v>
      </c>
      <c r="H22" s="918">
        <v>100</v>
      </c>
      <c r="I22" s="908">
        <v>76</v>
      </c>
      <c r="J22" s="908">
        <v>0</v>
      </c>
      <c r="K22" s="908">
        <v>86</v>
      </c>
      <c r="L22" s="908">
        <f t="shared" si="0"/>
        <v>162</v>
      </c>
      <c r="M22" s="922">
        <v>3</v>
      </c>
      <c r="N22" s="917">
        <v>3</v>
      </c>
      <c r="O22" s="913">
        <v>100</v>
      </c>
      <c r="P22" s="922"/>
      <c r="Q22" s="915">
        <v>1</v>
      </c>
      <c r="R22" s="915">
        <v>1</v>
      </c>
      <c r="S22" s="915">
        <v>100</v>
      </c>
      <c r="T22" s="226"/>
      <c r="U22" s="781"/>
      <c r="V22" s="633"/>
    </row>
    <row r="23" spans="1:22" s="236" customFormat="1" ht="18" customHeight="1">
      <c r="A23" s="508">
        <v>7</v>
      </c>
      <c r="B23" s="849" t="s">
        <v>2127</v>
      </c>
      <c r="C23" s="910">
        <v>967</v>
      </c>
      <c r="D23" s="910">
        <v>4305</v>
      </c>
      <c r="E23" s="911">
        <f t="shared" si="1"/>
        <v>678.8340000000001</v>
      </c>
      <c r="F23" s="907">
        <v>70.2</v>
      </c>
      <c r="G23" s="912">
        <v>874</v>
      </c>
      <c r="H23" s="918">
        <v>87.6</v>
      </c>
      <c r="I23" s="912">
        <v>45</v>
      </c>
      <c r="J23" s="908">
        <v>0</v>
      </c>
      <c r="K23" s="908">
        <v>21</v>
      </c>
      <c r="L23" s="908">
        <f t="shared" si="0"/>
        <v>66</v>
      </c>
      <c r="M23" s="922">
        <v>3</v>
      </c>
      <c r="N23" s="917">
        <v>3</v>
      </c>
      <c r="O23" s="913">
        <v>100</v>
      </c>
      <c r="P23" s="922"/>
      <c r="Q23" s="915">
        <v>1</v>
      </c>
      <c r="R23" s="915">
        <v>1</v>
      </c>
      <c r="S23" s="915">
        <v>100</v>
      </c>
      <c r="T23" s="226"/>
      <c r="U23" s="781"/>
      <c r="V23" s="633"/>
    </row>
    <row r="24" spans="1:22" s="651" customFormat="1" ht="26.25" customHeight="1">
      <c r="A24" s="508">
        <v>8</v>
      </c>
      <c r="B24" s="849" t="s">
        <v>2151</v>
      </c>
      <c r="C24" s="910">
        <v>372</v>
      </c>
      <c r="D24" s="910">
        <v>1545</v>
      </c>
      <c r="E24" s="911">
        <f t="shared" si="1"/>
        <v>297.6</v>
      </c>
      <c r="F24" s="907">
        <v>80</v>
      </c>
      <c r="G24" s="912">
        <v>368</v>
      </c>
      <c r="H24" s="918">
        <v>99</v>
      </c>
      <c r="I24" s="912">
        <v>40</v>
      </c>
      <c r="J24" s="908">
        <v>0</v>
      </c>
      <c r="K24" s="908">
        <v>100</v>
      </c>
      <c r="L24" s="908">
        <f t="shared" si="0"/>
        <v>140</v>
      </c>
      <c r="M24" s="922">
        <v>2</v>
      </c>
      <c r="N24" s="922">
        <v>2</v>
      </c>
      <c r="O24" s="913">
        <v>100</v>
      </c>
      <c r="P24" s="922"/>
      <c r="Q24" s="915">
        <v>1</v>
      </c>
      <c r="R24" s="915">
        <v>1</v>
      </c>
      <c r="S24" s="915">
        <v>100</v>
      </c>
      <c r="T24" s="226"/>
      <c r="U24" s="781"/>
      <c r="V24" s="633"/>
    </row>
    <row r="25" spans="1:22" s="651" customFormat="1" ht="18" customHeight="1">
      <c r="A25" s="508">
        <v>9</v>
      </c>
      <c r="B25" s="916" t="s">
        <v>2128</v>
      </c>
      <c r="C25" s="921">
        <v>681</v>
      </c>
      <c r="D25" s="921">
        <v>2852</v>
      </c>
      <c r="E25" s="911">
        <f t="shared" si="1"/>
        <v>602.004</v>
      </c>
      <c r="F25" s="907">
        <v>88.4</v>
      </c>
      <c r="G25" s="912">
        <v>681</v>
      </c>
      <c r="H25" s="918">
        <v>100</v>
      </c>
      <c r="I25" s="908">
        <v>9</v>
      </c>
      <c r="J25" s="908">
        <v>0</v>
      </c>
      <c r="K25" s="908">
        <v>100</v>
      </c>
      <c r="L25" s="908">
        <f t="shared" si="0"/>
        <v>109</v>
      </c>
      <c r="M25" s="922">
        <v>3</v>
      </c>
      <c r="N25" s="917">
        <v>3</v>
      </c>
      <c r="O25" s="913">
        <v>100</v>
      </c>
      <c r="P25" s="922"/>
      <c r="Q25" s="915">
        <v>1</v>
      </c>
      <c r="R25" s="915">
        <v>1</v>
      </c>
      <c r="S25" s="915">
        <v>100</v>
      </c>
      <c r="T25" s="226"/>
      <c r="U25" s="781"/>
      <c r="V25" s="633"/>
    </row>
    <row r="26" spans="1:22" s="236" customFormat="1" ht="29.25" customHeight="1">
      <c r="A26" s="508">
        <v>10</v>
      </c>
      <c r="B26" s="849" t="s">
        <v>2129</v>
      </c>
      <c r="C26" s="926">
        <v>528</v>
      </c>
      <c r="D26" s="927">
        <f>C26*4</f>
        <v>2112</v>
      </c>
      <c r="E26" s="911">
        <f t="shared" si="1"/>
        <v>396</v>
      </c>
      <c r="F26" s="928">
        <v>75</v>
      </c>
      <c r="G26" s="912">
        <v>475</v>
      </c>
      <c r="H26" s="918">
        <v>90</v>
      </c>
      <c r="I26" s="912">
        <v>163</v>
      </c>
      <c r="J26" s="908">
        <v>0</v>
      </c>
      <c r="K26" s="908">
        <v>0</v>
      </c>
      <c r="L26" s="908">
        <f t="shared" si="0"/>
        <v>163</v>
      </c>
      <c r="M26" s="922">
        <v>2</v>
      </c>
      <c r="N26" s="922">
        <v>2</v>
      </c>
      <c r="O26" s="913">
        <v>100</v>
      </c>
      <c r="P26" s="754"/>
      <c r="Q26" s="915">
        <v>1</v>
      </c>
      <c r="R26" s="915">
        <v>1</v>
      </c>
      <c r="S26" s="915">
        <v>100</v>
      </c>
      <c r="T26" s="226"/>
      <c r="U26" s="781"/>
      <c r="V26" s="633"/>
    </row>
    <row r="27" spans="1:22" s="654" customFormat="1" ht="18" customHeight="1">
      <c r="A27" s="508">
        <v>11</v>
      </c>
      <c r="B27" s="849" t="s">
        <v>2130</v>
      </c>
      <c r="C27" s="926">
        <v>722</v>
      </c>
      <c r="D27" s="927">
        <f>C27*4</f>
        <v>2888</v>
      </c>
      <c r="E27" s="911">
        <f t="shared" si="1"/>
        <v>541.5</v>
      </c>
      <c r="F27" s="928">
        <v>75</v>
      </c>
      <c r="G27" s="912">
        <v>649</v>
      </c>
      <c r="H27" s="918">
        <v>90</v>
      </c>
      <c r="I27" s="912">
        <v>26</v>
      </c>
      <c r="J27" s="908">
        <v>0</v>
      </c>
      <c r="K27" s="908">
        <v>21</v>
      </c>
      <c r="L27" s="908">
        <f t="shared" si="0"/>
        <v>47</v>
      </c>
      <c r="M27" s="922">
        <v>2</v>
      </c>
      <c r="N27" s="922">
        <v>2</v>
      </c>
      <c r="O27" s="913">
        <v>100</v>
      </c>
      <c r="P27" s="922"/>
      <c r="Q27" s="915">
        <v>1</v>
      </c>
      <c r="R27" s="915">
        <v>1</v>
      </c>
      <c r="S27" s="915">
        <v>100</v>
      </c>
      <c r="T27" s="226"/>
      <c r="U27" s="781"/>
      <c r="V27" s="633"/>
    </row>
    <row r="28" spans="1:22" s="651" customFormat="1" ht="18" customHeight="1">
      <c r="A28" s="508">
        <v>12</v>
      </c>
      <c r="B28" s="929" t="s">
        <v>2131</v>
      </c>
      <c r="C28" s="926">
        <v>914</v>
      </c>
      <c r="D28" s="927">
        <f>C28*4</f>
        <v>3656</v>
      </c>
      <c r="E28" s="911">
        <f t="shared" si="1"/>
        <v>639.8</v>
      </c>
      <c r="F28" s="928">
        <v>70</v>
      </c>
      <c r="G28" s="912">
        <v>822</v>
      </c>
      <c r="H28" s="918">
        <v>90</v>
      </c>
      <c r="I28" s="820">
        <v>30</v>
      </c>
      <c r="J28" s="820">
        <v>0</v>
      </c>
      <c r="K28" s="820">
        <v>200</v>
      </c>
      <c r="L28" s="908">
        <f>K28+J28+I28</f>
        <v>230</v>
      </c>
      <c r="M28" s="922">
        <v>3</v>
      </c>
      <c r="N28" s="922">
        <v>3</v>
      </c>
      <c r="O28" s="922">
        <v>100</v>
      </c>
      <c r="P28" s="754"/>
      <c r="Q28" s="915">
        <v>1</v>
      </c>
      <c r="R28" s="915">
        <v>1</v>
      </c>
      <c r="S28" s="915">
        <v>100</v>
      </c>
      <c r="T28" s="226"/>
      <c r="U28" s="781"/>
      <c r="V28" s="633"/>
    </row>
    <row r="29" spans="1:22" s="655" customFormat="1" ht="18" customHeight="1">
      <c r="A29" s="508">
        <v>13</v>
      </c>
      <c r="B29" s="849" t="s">
        <v>2132</v>
      </c>
      <c r="C29" s="924">
        <v>740</v>
      </c>
      <c r="D29" s="923">
        <v>3293</v>
      </c>
      <c r="E29" s="911">
        <f t="shared" si="1"/>
        <v>518</v>
      </c>
      <c r="F29" s="907">
        <v>70</v>
      </c>
      <c r="G29" s="912">
        <v>592</v>
      </c>
      <c r="H29" s="909">
        <v>80</v>
      </c>
      <c r="I29" s="912">
        <v>305</v>
      </c>
      <c r="J29" s="908"/>
      <c r="K29" s="908"/>
      <c r="L29" s="908"/>
      <c r="M29" s="371">
        <v>3</v>
      </c>
      <c r="N29" s="922">
        <v>3</v>
      </c>
      <c r="O29" s="922">
        <v>100</v>
      </c>
      <c r="P29" s="922"/>
      <c r="Q29" s="915">
        <v>1</v>
      </c>
      <c r="R29" s="915">
        <v>1</v>
      </c>
      <c r="S29" s="915">
        <v>100</v>
      </c>
      <c r="T29" s="226"/>
      <c r="U29" s="781"/>
      <c r="V29" s="633"/>
    </row>
    <row r="30" spans="1:22" ht="18" customHeight="1">
      <c r="A30" s="1542" t="s">
        <v>2133</v>
      </c>
      <c r="B30" s="1542"/>
      <c r="C30" s="1542"/>
      <c r="D30" s="1542"/>
      <c r="E30" s="1542"/>
      <c r="F30" s="1542"/>
      <c r="G30" s="1542"/>
      <c r="H30" s="1542"/>
      <c r="I30" s="1542"/>
      <c r="J30" s="1542"/>
      <c r="K30" s="1542"/>
      <c r="L30" s="1542"/>
      <c r="M30" s="1542"/>
      <c r="N30" s="1542"/>
      <c r="O30" s="1542"/>
      <c r="P30" s="1542"/>
      <c r="Q30" s="228"/>
      <c r="R30" s="228"/>
      <c r="S30" s="228"/>
      <c r="T30" s="226"/>
      <c r="U30" s="781"/>
      <c r="V30" s="633"/>
    </row>
    <row r="31" spans="1:22" ht="18" customHeight="1">
      <c r="A31" s="930">
        <v>1</v>
      </c>
      <c r="B31" s="849" t="s">
        <v>2134</v>
      </c>
      <c r="C31" s="921">
        <v>729</v>
      </c>
      <c r="D31" s="921">
        <v>3194</v>
      </c>
      <c r="E31" s="931">
        <f>C31*F31/100</f>
        <v>492.075</v>
      </c>
      <c r="F31" s="932">
        <v>67.5</v>
      </c>
      <c r="G31" s="920">
        <v>656</v>
      </c>
      <c r="H31" s="918">
        <v>90</v>
      </c>
      <c r="I31" s="912">
        <v>163</v>
      </c>
      <c r="J31" s="908">
        <v>0</v>
      </c>
      <c r="K31" s="908">
        <v>50</v>
      </c>
      <c r="L31" s="908">
        <f aca="true" t="shared" si="2" ref="L31:L42">K31+J31+I31</f>
        <v>213</v>
      </c>
      <c r="M31" s="371">
        <v>3</v>
      </c>
      <c r="N31" s="922">
        <v>3</v>
      </c>
      <c r="O31" s="922">
        <v>100</v>
      </c>
      <c r="P31" s="922"/>
      <c r="Q31" s="915">
        <v>1</v>
      </c>
      <c r="R31" s="915">
        <v>1</v>
      </c>
      <c r="S31" s="915">
        <v>100</v>
      </c>
      <c r="T31" s="933"/>
      <c r="U31" s="929"/>
      <c r="V31" s="633"/>
    </row>
    <row r="32" spans="1:22" ht="18" customHeight="1">
      <c r="A32" s="930">
        <v>2</v>
      </c>
      <c r="B32" s="849" t="s">
        <v>2135</v>
      </c>
      <c r="C32" s="926">
        <v>674</v>
      </c>
      <c r="D32" s="929">
        <v>2696</v>
      </c>
      <c r="E32" s="931">
        <f aca="true" t="shared" si="3" ref="E32:E46">C32*F32/100</f>
        <v>451.58</v>
      </c>
      <c r="F32" s="934">
        <v>67</v>
      </c>
      <c r="G32" s="920">
        <v>539</v>
      </c>
      <c r="H32" s="918">
        <v>80</v>
      </c>
      <c r="I32" s="912">
        <v>189</v>
      </c>
      <c r="J32" s="912">
        <v>0</v>
      </c>
      <c r="K32" s="908">
        <v>100</v>
      </c>
      <c r="L32" s="908">
        <f t="shared" si="2"/>
        <v>289</v>
      </c>
      <c r="M32" s="922">
        <v>3</v>
      </c>
      <c r="N32" s="922">
        <v>3</v>
      </c>
      <c r="O32" s="922">
        <v>100</v>
      </c>
      <c r="P32" s="922"/>
      <c r="Q32" s="915">
        <v>1</v>
      </c>
      <c r="R32" s="915">
        <v>1</v>
      </c>
      <c r="S32" s="915">
        <v>100</v>
      </c>
      <c r="T32" s="933"/>
      <c r="U32" s="929"/>
      <c r="V32" s="633"/>
    </row>
    <row r="33" spans="1:22" ht="18" customHeight="1">
      <c r="A33" s="930">
        <v>3</v>
      </c>
      <c r="B33" s="849" t="s">
        <v>2136</v>
      </c>
      <c r="C33" s="926">
        <v>656</v>
      </c>
      <c r="D33" s="935">
        <f aca="true" t="shared" si="4" ref="D33:D42">C33*4</f>
        <v>2624</v>
      </c>
      <c r="E33" s="931">
        <f t="shared" si="3"/>
        <v>478.88</v>
      </c>
      <c r="F33" s="934">
        <v>73</v>
      </c>
      <c r="G33" s="920">
        <v>557</v>
      </c>
      <c r="H33" s="918">
        <v>85</v>
      </c>
      <c r="I33" s="908">
        <v>80</v>
      </c>
      <c r="J33" s="908">
        <v>0</v>
      </c>
      <c r="K33" s="908">
        <v>50</v>
      </c>
      <c r="L33" s="908">
        <f t="shared" si="2"/>
        <v>130</v>
      </c>
      <c r="M33" s="922">
        <v>2</v>
      </c>
      <c r="N33" s="922">
        <v>2</v>
      </c>
      <c r="O33" s="922">
        <v>100</v>
      </c>
      <c r="P33" s="922"/>
      <c r="Q33" s="915">
        <v>1</v>
      </c>
      <c r="R33" s="915">
        <v>1</v>
      </c>
      <c r="S33" s="915">
        <v>100</v>
      </c>
      <c r="T33" s="933"/>
      <c r="U33" s="929"/>
      <c r="V33" s="633"/>
    </row>
    <row r="34" spans="1:22" ht="18" customHeight="1">
      <c r="A34" s="930">
        <v>4</v>
      </c>
      <c r="B34" s="849" t="s">
        <v>2137</v>
      </c>
      <c r="C34" s="926">
        <v>380</v>
      </c>
      <c r="D34" s="935">
        <f t="shared" si="4"/>
        <v>1520</v>
      </c>
      <c r="E34" s="931">
        <f t="shared" si="3"/>
        <v>266</v>
      </c>
      <c r="F34" s="934">
        <v>70</v>
      </c>
      <c r="G34" s="920">
        <v>304</v>
      </c>
      <c r="H34" s="918">
        <v>80</v>
      </c>
      <c r="I34" s="912">
        <v>55</v>
      </c>
      <c r="J34" s="908">
        <v>0</v>
      </c>
      <c r="K34" s="908">
        <v>0</v>
      </c>
      <c r="L34" s="908">
        <f t="shared" si="2"/>
        <v>55</v>
      </c>
      <c r="M34" s="922">
        <v>2</v>
      </c>
      <c r="N34" s="922">
        <v>2</v>
      </c>
      <c r="O34" s="922">
        <v>100</v>
      </c>
      <c r="P34" s="922"/>
      <c r="Q34" s="915">
        <v>1</v>
      </c>
      <c r="R34" s="915">
        <v>1</v>
      </c>
      <c r="S34" s="915">
        <v>100</v>
      </c>
      <c r="T34" s="933"/>
      <c r="U34" s="929"/>
      <c r="V34" s="633"/>
    </row>
    <row r="35" spans="1:22" ht="18" customHeight="1">
      <c r="A35" s="930">
        <v>5</v>
      </c>
      <c r="B35" s="849" t="s">
        <v>2138</v>
      </c>
      <c r="C35" s="926">
        <v>883</v>
      </c>
      <c r="D35" s="935">
        <f t="shared" si="4"/>
        <v>3532</v>
      </c>
      <c r="E35" s="931">
        <f t="shared" si="3"/>
        <v>626.93</v>
      </c>
      <c r="F35" s="934">
        <v>71</v>
      </c>
      <c r="G35" s="920">
        <v>750</v>
      </c>
      <c r="H35" s="918">
        <v>85</v>
      </c>
      <c r="I35" s="912">
        <v>27</v>
      </c>
      <c r="J35" s="908">
        <v>0</v>
      </c>
      <c r="K35" s="908">
        <v>50</v>
      </c>
      <c r="L35" s="908">
        <f t="shared" si="2"/>
        <v>77</v>
      </c>
      <c r="M35" s="922">
        <v>3</v>
      </c>
      <c r="N35" s="922">
        <v>3</v>
      </c>
      <c r="O35" s="922">
        <v>100</v>
      </c>
      <c r="P35" s="922"/>
      <c r="Q35" s="915">
        <v>1</v>
      </c>
      <c r="R35" s="915">
        <v>1</v>
      </c>
      <c r="S35" s="915">
        <v>100</v>
      </c>
      <c r="T35" s="933"/>
      <c r="U35" s="929"/>
      <c r="V35" s="633"/>
    </row>
    <row r="36" spans="1:22" ht="18" customHeight="1">
      <c r="A36" s="930">
        <v>6</v>
      </c>
      <c r="B36" s="849" t="s">
        <v>2139</v>
      </c>
      <c r="C36" s="926">
        <v>589</v>
      </c>
      <c r="D36" s="927">
        <f t="shared" si="4"/>
        <v>2356</v>
      </c>
      <c r="E36" s="931">
        <f t="shared" si="3"/>
        <v>382.85</v>
      </c>
      <c r="F36" s="934">
        <v>65</v>
      </c>
      <c r="G36" s="920">
        <v>471</v>
      </c>
      <c r="H36" s="918">
        <v>80</v>
      </c>
      <c r="I36" s="912">
        <v>29</v>
      </c>
      <c r="J36" s="908">
        <v>0</v>
      </c>
      <c r="K36" s="908">
        <v>0</v>
      </c>
      <c r="L36" s="908">
        <f t="shared" si="2"/>
        <v>29</v>
      </c>
      <c r="M36" s="922">
        <v>3</v>
      </c>
      <c r="N36" s="922">
        <v>3</v>
      </c>
      <c r="O36" s="922">
        <v>100</v>
      </c>
      <c r="P36" s="754"/>
      <c r="Q36" s="915">
        <v>1</v>
      </c>
      <c r="R36" s="915">
        <v>1</v>
      </c>
      <c r="S36" s="915">
        <v>100</v>
      </c>
      <c r="T36" s="226"/>
      <c r="U36" s="781"/>
      <c r="V36" s="633"/>
    </row>
    <row r="37" spans="1:22" ht="18" customHeight="1">
      <c r="A37" s="930">
        <v>7</v>
      </c>
      <c r="B37" s="849" t="s">
        <v>2140</v>
      </c>
      <c r="C37" s="926">
        <v>715</v>
      </c>
      <c r="D37" s="927">
        <f t="shared" si="4"/>
        <v>2860</v>
      </c>
      <c r="E37" s="931">
        <f t="shared" si="3"/>
        <v>457.6</v>
      </c>
      <c r="F37" s="934">
        <v>64</v>
      </c>
      <c r="G37" s="920">
        <v>572</v>
      </c>
      <c r="H37" s="918">
        <v>80</v>
      </c>
      <c r="I37" s="912">
        <v>187</v>
      </c>
      <c r="J37" s="908">
        <v>0</v>
      </c>
      <c r="K37" s="911">
        <v>0</v>
      </c>
      <c r="L37" s="908">
        <f t="shared" si="2"/>
        <v>187</v>
      </c>
      <c r="M37" s="922">
        <v>3</v>
      </c>
      <c r="N37" s="922">
        <v>3</v>
      </c>
      <c r="O37" s="922">
        <v>100</v>
      </c>
      <c r="P37" s="922"/>
      <c r="Q37" s="915">
        <v>1</v>
      </c>
      <c r="R37" s="915">
        <v>1</v>
      </c>
      <c r="S37" s="915">
        <v>100</v>
      </c>
      <c r="T37" s="226"/>
      <c r="U37" s="781"/>
      <c r="V37" s="633"/>
    </row>
    <row r="38" spans="1:22" ht="18" customHeight="1">
      <c r="A38" s="930">
        <v>8</v>
      </c>
      <c r="B38" s="849" t="s">
        <v>2141</v>
      </c>
      <c r="C38" s="926">
        <v>204</v>
      </c>
      <c r="D38" s="927">
        <f t="shared" si="4"/>
        <v>816</v>
      </c>
      <c r="E38" s="931">
        <f t="shared" si="3"/>
        <v>81.6</v>
      </c>
      <c r="F38" s="934">
        <v>40</v>
      </c>
      <c r="G38" s="920">
        <v>163</v>
      </c>
      <c r="H38" s="918">
        <v>80</v>
      </c>
      <c r="I38" s="912">
        <v>75</v>
      </c>
      <c r="J38" s="908">
        <v>0</v>
      </c>
      <c r="K38" s="908">
        <v>0</v>
      </c>
      <c r="L38" s="908">
        <f t="shared" si="2"/>
        <v>75</v>
      </c>
      <c r="M38" s="936">
        <v>2</v>
      </c>
      <c r="N38" s="936">
        <v>2</v>
      </c>
      <c r="O38" s="922">
        <v>100</v>
      </c>
      <c r="P38" s="754"/>
      <c r="Q38" s="915">
        <v>1</v>
      </c>
      <c r="R38" s="915">
        <v>1</v>
      </c>
      <c r="S38" s="915">
        <v>100</v>
      </c>
      <c r="T38" s="226"/>
      <c r="U38" s="781"/>
      <c r="V38" s="633"/>
    </row>
    <row r="39" spans="1:22" ht="18" customHeight="1">
      <c r="A39" s="930">
        <v>9</v>
      </c>
      <c r="B39" s="849" t="s">
        <v>2142</v>
      </c>
      <c r="C39" s="926">
        <v>405</v>
      </c>
      <c r="D39" s="927">
        <v>1620</v>
      </c>
      <c r="E39" s="931">
        <f t="shared" si="3"/>
        <v>275.4</v>
      </c>
      <c r="F39" s="934">
        <v>68</v>
      </c>
      <c r="G39" s="920">
        <v>324</v>
      </c>
      <c r="H39" s="918">
        <v>80</v>
      </c>
      <c r="I39" s="912">
        <v>36</v>
      </c>
      <c r="J39" s="908">
        <v>0</v>
      </c>
      <c r="K39" s="908">
        <v>0</v>
      </c>
      <c r="L39" s="908">
        <f t="shared" si="2"/>
        <v>36</v>
      </c>
      <c r="M39" s="936">
        <v>2</v>
      </c>
      <c r="N39" s="936">
        <v>2</v>
      </c>
      <c r="O39" s="922">
        <v>100</v>
      </c>
      <c r="P39" s="754"/>
      <c r="Q39" s="915">
        <v>1</v>
      </c>
      <c r="R39" s="915">
        <v>1</v>
      </c>
      <c r="S39" s="915">
        <v>100</v>
      </c>
      <c r="T39" s="226"/>
      <c r="U39" s="781"/>
      <c r="V39" s="633"/>
    </row>
    <row r="40" spans="1:22" ht="18" customHeight="1">
      <c r="A40" s="930">
        <v>10</v>
      </c>
      <c r="B40" s="849" t="s">
        <v>2143</v>
      </c>
      <c r="C40" s="926">
        <v>802</v>
      </c>
      <c r="D40" s="935">
        <f t="shared" si="4"/>
        <v>3208</v>
      </c>
      <c r="E40" s="931">
        <f t="shared" si="3"/>
        <v>545.36</v>
      </c>
      <c r="F40" s="934">
        <v>68</v>
      </c>
      <c r="G40" s="920">
        <v>645</v>
      </c>
      <c r="H40" s="918">
        <v>80.5</v>
      </c>
      <c r="I40" s="912">
        <v>24</v>
      </c>
      <c r="J40" s="908">
        <v>0</v>
      </c>
      <c r="K40" s="908">
        <v>0</v>
      </c>
      <c r="L40" s="908">
        <f t="shared" si="2"/>
        <v>24</v>
      </c>
      <c r="M40" s="922">
        <v>3</v>
      </c>
      <c r="N40" s="922">
        <v>3</v>
      </c>
      <c r="O40" s="922">
        <v>100</v>
      </c>
      <c r="P40" s="754"/>
      <c r="Q40" s="915">
        <v>1</v>
      </c>
      <c r="R40" s="915">
        <v>1</v>
      </c>
      <c r="S40" s="915">
        <v>100</v>
      </c>
      <c r="T40" s="933"/>
      <c r="U40" s="929"/>
      <c r="V40" s="633"/>
    </row>
    <row r="41" spans="1:22" ht="18" customHeight="1">
      <c r="A41" s="930">
        <v>11</v>
      </c>
      <c r="B41" s="849" t="s">
        <v>2144</v>
      </c>
      <c r="C41" s="926">
        <v>621</v>
      </c>
      <c r="D41" s="935">
        <f t="shared" si="4"/>
        <v>2484</v>
      </c>
      <c r="E41" s="931">
        <f t="shared" si="3"/>
        <v>431.595</v>
      </c>
      <c r="F41" s="934">
        <v>69.5</v>
      </c>
      <c r="G41" s="920">
        <v>496</v>
      </c>
      <c r="H41" s="918">
        <v>80</v>
      </c>
      <c r="I41" s="937">
        <v>15</v>
      </c>
      <c r="J41" s="820"/>
      <c r="K41" s="820"/>
      <c r="L41" s="908"/>
      <c r="M41" s="936">
        <v>2</v>
      </c>
      <c r="N41" s="936">
        <v>2</v>
      </c>
      <c r="O41" s="922">
        <v>100</v>
      </c>
      <c r="P41" s="754"/>
      <c r="Q41" s="915">
        <v>1</v>
      </c>
      <c r="R41" s="915">
        <v>1</v>
      </c>
      <c r="S41" s="915">
        <v>100</v>
      </c>
      <c r="T41" s="933"/>
      <c r="U41" s="929"/>
      <c r="V41" s="633"/>
    </row>
    <row r="42" spans="1:22" ht="18" customHeight="1">
      <c r="A42" s="930">
        <v>12</v>
      </c>
      <c r="B42" s="916" t="s">
        <v>2145</v>
      </c>
      <c r="C42" s="926">
        <v>569</v>
      </c>
      <c r="D42" s="935">
        <f t="shared" si="4"/>
        <v>2276</v>
      </c>
      <c r="E42" s="931">
        <f t="shared" si="3"/>
        <v>384.075</v>
      </c>
      <c r="F42" s="934">
        <v>67.5</v>
      </c>
      <c r="G42" s="920">
        <v>455</v>
      </c>
      <c r="H42" s="918">
        <v>80</v>
      </c>
      <c r="I42" s="912">
        <v>49</v>
      </c>
      <c r="J42" s="908">
        <v>0</v>
      </c>
      <c r="K42" s="908">
        <v>0</v>
      </c>
      <c r="L42" s="908">
        <f t="shared" si="2"/>
        <v>49</v>
      </c>
      <c r="M42" s="913">
        <v>3</v>
      </c>
      <c r="N42" s="913">
        <v>3</v>
      </c>
      <c r="O42" s="922">
        <v>100</v>
      </c>
      <c r="P42" s="754"/>
      <c r="Q42" s="915">
        <v>1</v>
      </c>
      <c r="R42" s="915">
        <v>1</v>
      </c>
      <c r="S42" s="915">
        <v>100</v>
      </c>
      <c r="T42" s="933"/>
      <c r="U42" s="929"/>
      <c r="V42" s="633"/>
    </row>
    <row r="43" spans="1:22" ht="26.25" customHeight="1">
      <c r="A43" s="849">
        <v>13</v>
      </c>
      <c r="B43" s="849" t="s">
        <v>2146</v>
      </c>
      <c r="C43" s="938">
        <v>515</v>
      </c>
      <c r="D43" s="938">
        <v>2113</v>
      </c>
      <c r="E43" s="931">
        <f t="shared" si="3"/>
        <v>352.775</v>
      </c>
      <c r="F43" s="932">
        <v>68.5</v>
      </c>
      <c r="G43" s="920">
        <v>412</v>
      </c>
      <c r="H43" s="932">
        <v>80</v>
      </c>
      <c r="I43" s="912">
        <v>12</v>
      </c>
      <c r="J43" s="912"/>
      <c r="K43" s="912"/>
      <c r="L43" s="912"/>
      <c r="M43" s="936">
        <v>2</v>
      </c>
      <c r="N43" s="936">
        <v>2</v>
      </c>
      <c r="O43" s="922">
        <v>100</v>
      </c>
      <c r="P43" s="754"/>
      <c r="Q43" s="915">
        <v>1</v>
      </c>
      <c r="R43" s="915">
        <v>1</v>
      </c>
      <c r="S43" s="915">
        <v>100</v>
      </c>
      <c r="T43" s="933"/>
      <c r="U43" s="929"/>
      <c r="V43" s="939"/>
    </row>
    <row r="44" spans="1:22" ht="18" customHeight="1">
      <c r="A44" s="930">
        <v>14</v>
      </c>
      <c r="B44" s="930" t="s">
        <v>2147</v>
      </c>
      <c r="C44" s="917">
        <v>1029</v>
      </c>
      <c r="D44" s="917">
        <v>3977</v>
      </c>
      <c r="E44" s="931">
        <f t="shared" si="3"/>
        <v>739.8510000000001</v>
      </c>
      <c r="F44" s="940">
        <v>71.9</v>
      </c>
      <c r="G44" s="920">
        <v>828</v>
      </c>
      <c r="H44" s="940">
        <v>80.5</v>
      </c>
      <c r="I44" s="941">
        <v>20</v>
      </c>
      <c r="J44" s="942" t="s">
        <v>894</v>
      </c>
      <c r="K44" s="942"/>
      <c r="L44" s="942"/>
      <c r="M44" s="913">
        <v>3</v>
      </c>
      <c r="N44" s="913">
        <v>3</v>
      </c>
      <c r="O44" s="922">
        <v>100</v>
      </c>
      <c r="P44" s="754"/>
      <c r="Q44" s="915">
        <v>1</v>
      </c>
      <c r="R44" s="915">
        <v>1</v>
      </c>
      <c r="S44" s="915">
        <v>100</v>
      </c>
      <c r="T44" s="933"/>
      <c r="U44" s="929"/>
      <c r="V44" s="939"/>
    </row>
    <row r="45" spans="1:22" ht="18" customHeight="1">
      <c r="A45" s="930">
        <v>15</v>
      </c>
      <c r="B45" s="930" t="s">
        <v>2148</v>
      </c>
      <c r="C45" s="917">
        <v>854</v>
      </c>
      <c r="D45" s="917">
        <v>3543</v>
      </c>
      <c r="E45" s="931">
        <f t="shared" si="3"/>
        <v>621.712</v>
      </c>
      <c r="F45" s="940">
        <v>72.8</v>
      </c>
      <c r="G45" s="920">
        <v>690</v>
      </c>
      <c r="H45" s="940">
        <v>80.8</v>
      </c>
      <c r="I45" s="941">
        <v>152</v>
      </c>
      <c r="J45" s="941"/>
      <c r="K45" s="941"/>
      <c r="L45" s="941"/>
      <c r="M45" s="936">
        <v>2</v>
      </c>
      <c r="N45" s="936">
        <v>2</v>
      </c>
      <c r="O45" s="922">
        <v>100</v>
      </c>
      <c r="P45" s="754"/>
      <c r="Q45" s="915">
        <v>1</v>
      </c>
      <c r="R45" s="915">
        <v>1</v>
      </c>
      <c r="S45" s="915">
        <v>100</v>
      </c>
      <c r="T45" s="933"/>
      <c r="U45" s="929"/>
      <c r="V45" s="939"/>
    </row>
    <row r="46" spans="1:22" ht="18" customHeight="1">
      <c r="A46" s="930">
        <v>16</v>
      </c>
      <c r="B46" s="930" t="s">
        <v>2149</v>
      </c>
      <c r="C46" s="917">
        <v>423</v>
      </c>
      <c r="D46" s="917">
        <v>1858</v>
      </c>
      <c r="E46" s="931">
        <f t="shared" si="3"/>
        <v>317.673</v>
      </c>
      <c r="F46" s="941">
        <v>75.1</v>
      </c>
      <c r="G46" s="920">
        <v>338</v>
      </c>
      <c r="H46" s="941">
        <v>80.1</v>
      </c>
      <c r="I46" s="941">
        <v>10</v>
      </c>
      <c r="J46" s="941"/>
      <c r="K46" s="941"/>
      <c r="L46" s="941"/>
      <c r="M46" s="936">
        <v>2</v>
      </c>
      <c r="N46" s="936">
        <v>2</v>
      </c>
      <c r="O46" s="922">
        <v>100</v>
      </c>
      <c r="P46" s="754"/>
      <c r="Q46" s="915">
        <v>1</v>
      </c>
      <c r="R46" s="915">
        <v>1</v>
      </c>
      <c r="S46" s="915">
        <v>100</v>
      </c>
      <c r="T46" s="933"/>
      <c r="U46" s="929"/>
      <c r="V46" s="939"/>
    </row>
    <row r="47" spans="1:22" ht="18" customHeight="1">
      <c r="A47" s="1542" t="s">
        <v>1436</v>
      </c>
      <c r="B47" s="1542"/>
      <c r="C47" s="1542"/>
      <c r="D47" s="1542"/>
      <c r="E47" s="1542"/>
      <c r="F47" s="1542"/>
      <c r="G47" s="1542"/>
      <c r="H47" s="1542"/>
      <c r="I47" s="1542"/>
      <c r="J47" s="1542"/>
      <c r="K47" s="1542"/>
      <c r="L47" s="1542"/>
      <c r="M47" s="1542"/>
      <c r="N47" s="1542"/>
      <c r="O47" s="1542"/>
      <c r="P47" s="1542"/>
      <c r="Q47" s="228"/>
      <c r="R47" s="228"/>
      <c r="S47" s="228"/>
      <c r="T47" s="226"/>
      <c r="U47" s="781"/>
      <c r="V47" s="633"/>
    </row>
    <row r="48" spans="1:22" ht="18" customHeight="1">
      <c r="A48" s="754"/>
      <c r="B48" s="754"/>
      <c r="C48" s="754"/>
      <c r="D48" s="754"/>
      <c r="E48" s="809"/>
      <c r="F48" s="809"/>
      <c r="G48" s="809"/>
      <c r="H48" s="809"/>
      <c r="I48" s="809"/>
      <c r="J48" s="809"/>
      <c r="K48" s="809"/>
      <c r="L48" s="809"/>
      <c r="M48" s="809"/>
      <c r="N48" s="754"/>
      <c r="O48" s="754"/>
      <c r="P48" s="754"/>
      <c r="Q48" s="228"/>
      <c r="R48" s="228"/>
      <c r="S48" s="228"/>
      <c r="T48" s="226"/>
      <c r="U48" s="781"/>
      <c r="V48" s="633"/>
    </row>
    <row r="49" spans="1:22" ht="18" customHeight="1">
      <c r="A49" s="1543" t="s">
        <v>1437</v>
      </c>
      <c r="B49" s="1543"/>
      <c r="C49" s="1543"/>
      <c r="D49" s="1543"/>
      <c r="E49" s="1543"/>
      <c r="F49" s="1543"/>
      <c r="G49" s="1543"/>
      <c r="H49" s="1543"/>
      <c r="I49" s="1543"/>
      <c r="J49" s="1543"/>
      <c r="K49" s="1543"/>
      <c r="L49" s="1543"/>
      <c r="M49" s="1543"/>
      <c r="N49" s="1543"/>
      <c r="O49" s="1543"/>
      <c r="P49" s="1543"/>
      <c r="Q49" s="943"/>
      <c r="R49" s="943"/>
      <c r="S49" s="943"/>
      <c r="T49" s="944"/>
      <c r="U49" s="945"/>
      <c r="V49" s="946"/>
    </row>
    <row r="50" spans="1:22" ht="18" customHeight="1">
      <c r="A50" s="234"/>
      <c r="B50" s="373"/>
      <c r="C50" s="380"/>
      <c r="D50" s="380"/>
      <c r="E50" s="947"/>
      <c r="F50" s="947"/>
      <c r="G50" s="947"/>
      <c r="H50" s="947"/>
      <c r="I50" s="947"/>
      <c r="J50" s="947"/>
      <c r="K50" s="947"/>
      <c r="L50" s="947"/>
      <c r="M50" s="947"/>
      <c r="N50" s="380"/>
      <c r="O50" s="380"/>
      <c r="P50" s="228"/>
      <c r="Q50" s="228"/>
      <c r="R50" s="228"/>
      <c r="S50" s="228"/>
      <c r="T50" s="226"/>
      <c r="U50" s="781"/>
      <c r="V50" s="781"/>
    </row>
    <row r="51" spans="1:22" s="615" customFormat="1" ht="18" customHeight="1">
      <c r="A51" s="1544" t="s">
        <v>746</v>
      </c>
      <c r="B51" s="1545"/>
      <c r="C51" s="237">
        <f>C10+C12+C13+C14+C15+C17+C18+C19+C20+C21+C22+C23+C24+C25+C26+C27+C28+C29+C31+C32+C33+C34+C35+C36+C37+C38+C39+C40+C41+C42+C43+C44+C45+C46</f>
        <v>22456</v>
      </c>
      <c r="D51" s="237">
        <f aca="true" t="shared" si="5" ref="D51:R51">D10+D12+D13+D14+D15+D17+D18+D19+D20+D21+D22+D23+D24+D25+D26+D27+D28+D29+D31+D32+D33+D34+D35+D36+D37+D38+D39+D40+D41+D42+D43+D44+D45+D46</f>
        <v>92957</v>
      </c>
      <c r="E51" s="237">
        <f t="shared" si="5"/>
        <v>16372.097000000002</v>
      </c>
      <c r="F51" s="1339">
        <f>E51/C51*100</f>
        <v>72.9074501246883</v>
      </c>
      <c r="G51" s="237">
        <f t="shared" si="5"/>
        <v>19006</v>
      </c>
      <c r="H51" s="1339">
        <f>G51/C51*100</f>
        <v>84.63662272889205</v>
      </c>
      <c r="I51" s="237">
        <f t="shared" si="5"/>
        <v>2516</v>
      </c>
      <c r="J51" s="237">
        <v>40</v>
      </c>
      <c r="K51" s="237">
        <f t="shared" si="5"/>
        <v>1567</v>
      </c>
      <c r="L51" s="237">
        <f t="shared" si="5"/>
        <v>3609</v>
      </c>
      <c r="M51" s="237">
        <f t="shared" si="5"/>
        <v>89</v>
      </c>
      <c r="N51" s="237">
        <f t="shared" si="5"/>
        <v>89</v>
      </c>
      <c r="O51" s="237"/>
      <c r="P51" s="237"/>
      <c r="Q51" s="237">
        <f t="shared" si="5"/>
        <v>34</v>
      </c>
      <c r="R51" s="237">
        <f t="shared" si="5"/>
        <v>34</v>
      </c>
      <c r="S51" s="237"/>
      <c r="T51" s="243"/>
      <c r="U51" s="1340"/>
      <c r="V51" s="1340"/>
    </row>
  </sheetData>
  <sheetProtection/>
  <mergeCells count="20">
    <mergeCell ref="A9:P9"/>
    <mergeCell ref="E5:F5"/>
    <mergeCell ref="G5:H5"/>
    <mergeCell ref="A7:P7"/>
    <mergeCell ref="I5:L5"/>
    <mergeCell ref="U4:V5"/>
    <mergeCell ref="A4:A6"/>
    <mergeCell ref="B4:B6"/>
    <mergeCell ref="C4:C6"/>
    <mergeCell ref="D4:D6"/>
    <mergeCell ref="A16:P16"/>
    <mergeCell ref="A30:P30"/>
    <mergeCell ref="A47:P47"/>
    <mergeCell ref="A49:P49"/>
    <mergeCell ref="A51:B51"/>
    <mergeCell ref="A1:V1"/>
    <mergeCell ref="E4:L4"/>
    <mergeCell ref="M4:P5"/>
    <mergeCell ref="Q4:T5"/>
    <mergeCell ref="A11:P11"/>
  </mergeCells>
  <printOptions horizontalCentered="1"/>
  <pageMargins left="0.11811023622047245" right="0.11811023622047245" top="0.3937007874015748" bottom="0.1968503937007874" header="0.31496062992125984" footer="0.31496062992125984"/>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dimension ref="A1:AT44"/>
  <sheetViews>
    <sheetView zoomScalePageLayoutView="0" workbookViewId="0" topLeftCell="A1">
      <pane xSplit="2" ySplit="7" topLeftCell="R8" activePane="bottomRight" state="frozen"/>
      <selection pane="topLeft" activeCell="A1" sqref="A1"/>
      <selection pane="topRight" activeCell="C1" sqref="C1"/>
      <selection pane="bottomLeft" activeCell="A9" sqref="A9"/>
      <selection pane="bottomRight" activeCell="B19" sqref="B19"/>
    </sheetView>
  </sheetViews>
  <sheetFormatPr defaultColWidth="8.796875" defaultRowHeight="13.5" customHeight="1"/>
  <cols>
    <col min="1" max="1" width="3.3984375" style="689" customWidth="1"/>
    <col min="2" max="2" width="20.3984375" style="689" customWidth="1"/>
    <col min="3" max="3" width="5.69921875" style="689" customWidth="1"/>
    <col min="4" max="4" width="5.5" style="689" customWidth="1"/>
    <col min="5" max="6" width="5" style="689" customWidth="1"/>
    <col min="7" max="7" width="5.19921875" style="689" customWidth="1"/>
    <col min="8" max="8" width="5.8984375" style="689" customWidth="1"/>
    <col min="9" max="9" width="4.8984375" style="689" customWidth="1"/>
    <col min="10" max="10" width="20" style="689" customWidth="1"/>
    <col min="11" max="11" width="5.3984375" style="689" customWidth="1"/>
    <col min="12" max="12" width="5.69921875" style="689" customWidth="1"/>
    <col min="13" max="13" width="4.69921875" style="689" customWidth="1"/>
    <col min="14" max="14" width="5.19921875" style="689" customWidth="1"/>
    <col min="15" max="15" width="8.8984375" style="689" customWidth="1"/>
    <col min="16" max="16" width="8" style="689" customWidth="1"/>
    <col min="17" max="17" width="7.8984375" style="689" customWidth="1"/>
    <col min="18" max="18" width="7.09765625" style="689" customWidth="1"/>
    <col min="19" max="19" width="6.19921875" style="689" customWidth="1"/>
    <col min="20" max="20" width="5.69921875" style="689" customWidth="1"/>
    <col min="21" max="21" width="5.19921875" style="689" customWidth="1"/>
    <col min="22" max="22" width="6.8984375" style="689" customWidth="1"/>
    <col min="23" max="23" width="7.59765625" style="689" customWidth="1"/>
    <col min="24" max="24" width="6.8984375" style="689" customWidth="1"/>
    <col min="25" max="25" width="8" style="689" customWidth="1"/>
    <col min="26" max="26" width="7.69921875" style="689" customWidth="1"/>
    <col min="27" max="27" width="7" style="689" customWidth="1"/>
    <col min="28" max="28" width="5.19921875" style="689" customWidth="1"/>
    <col min="29" max="29" width="4.8984375" style="689" customWidth="1"/>
    <col min="30" max="30" width="5.69921875" style="689" customWidth="1"/>
    <col min="31" max="31" width="4.5" style="689" customWidth="1"/>
    <col min="32" max="32" width="5.8984375" style="689" customWidth="1"/>
    <col min="33" max="33" width="5.19921875" style="689" customWidth="1"/>
    <col min="34" max="34" width="5.69921875" style="689" customWidth="1"/>
    <col min="35" max="35" width="5.19921875" style="689" customWidth="1"/>
    <col min="36" max="36" width="4.3984375" style="689" customWidth="1"/>
    <col min="37" max="39" width="4.5" style="689" customWidth="1"/>
    <col min="40" max="40" width="5.19921875" style="689" customWidth="1"/>
    <col min="41" max="41" width="4.69921875" style="689" customWidth="1"/>
    <col min="42" max="42" width="5" style="689" customWidth="1"/>
    <col min="43" max="43" width="5.3984375" style="689" customWidth="1"/>
    <col min="44" max="44" width="5.09765625" style="689" customWidth="1"/>
    <col min="45" max="45" width="4.8984375" style="689" customWidth="1"/>
    <col min="46" max="46" width="5.09765625" style="689" customWidth="1"/>
    <col min="47" max="16384" width="9" style="689" customWidth="1"/>
  </cols>
  <sheetData>
    <row r="1" spans="1:46" s="747" customFormat="1" ht="24.75" customHeight="1">
      <c r="A1" s="1547" t="s">
        <v>1457</v>
      </c>
      <c r="B1" s="1547"/>
      <c r="C1" s="1547"/>
      <c r="D1" s="1547"/>
      <c r="E1" s="1547"/>
      <c r="F1" s="1547"/>
      <c r="G1" s="1547"/>
      <c r="H1" s="1547"/>
      <c r="I1" s="1547"/>
      <c r="J1" s="1547"/>
      <c r="K1" s="1547"/>
      <c r="L1" s="1547"/>
      <c r="M1" s="1547"/>
      <c r="N1" s="1547"/>
      <c r="O1" s="1547"/>
      <c r="P1" s="1547"/>
      <c r="Q1" s="1547"/>
      <c r="R1" s="1547"/>
      <c r="S1" s="1547"/>
      <c r="T1" s="1547"/>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row>
    <row r="2" spans="1:46" s="748" customFormat="1" ht="18" customHeight="1">
      <c r="A2" s="1548" t="s">
        <v>2315</v>
      </c>
      <c r="B2" s="1548"/>
      <c r="C2" s="1548"/>
      <c r="D2" s="1548"/>
      <c r="E2" s="1548"/>
      <c r="F2" s="1548"/>
      <c r="G2" s="1548"/>
      <c r="H2" s="1548"/>
      <c r="I2" s="1548"/>
      <c r="J2" s="1548"/>
      <c r="K2" s="1548"/>
      <c r="L2" s="1548"/>
      <c r="M2" s="1548"/>
      <c r="N2" s="1548"/>
      <c r="O2" s="1548"/>
      <c r="P2" s="1548"/>
      <c r="Q2" s="1548"/>
      <c r="R2" s="1548"/>
      <c r="S2" s="1548"/>
      <c r="T2" s="1548"/>
      <c r="U2" s="1338"/>
      <c r="V2" s="1338"/>
      <c r="W2" s="1338"/>
      <c r="X2" s="1338"/>
      <c r="Y2" s="1338"/>
      <c r="Z2" s="1338"/>
      <c r="AA2" s="1338"/>
      <c r="AB2" s="1338"/>
      <c r="AC2" s="1338"/>
      <c r="AD2" s="1338"/>
      <c r="AE2" s="1338"/>
      <c r="AF2" s="1338"/>
      <c r="AG2" s="1338"/>
      <c r="AH2" s="1338"/>
      <c r="AI2" s="1338"/>
      <c r="AJ2" s="1338"/>
      <c r="AK2" s="1338"/>
      <c r="AL2" s="1338"/>
      <c r="AM2" s="1338"/>
      <c r="AN2" s="1338"/>
      <c r="AO2" s="1338"/>
      <c r="AP2" s="1338"/>
      <c r="AQ2" s="1338"/>
      <c r="AR2" s="1338"/>
      <c r="AS2" s="1338"/>
      <c r="AT2" s="1338"/>
    </row>
    <row r="3" spans="1:41" s="747" customFormat="1" ht="6.75" customHeight="1">
      <c r="A3" s="749"/>
      <c r="B3" s="749"/>
      <c r="C3" s="749"/>
      <c r="D3" s="749"/>
      <c r="E3" s="749"/>
      <c r="F3" s="749"/>
      <c r="K3" s="749"/>
      <c r="L3" s="749"/>
      <c r="M3" s="749"/>
      <c r="N3" s="752"/>
      <c r="O3" s="752"/>
      <c r="AC3" s="751"/>
      <c r="AD3" s="750"/>
      <c r="AE3" s="750"/>
      <c r="AF3" s="750"/>
      <c r="AG3" s="750"/>
      <c r="AH3" s="750"/>
      <c r="AI3" s="750"/>
      <c r="AJ3" s="750"/>
      <c r="AK3" s="750"/>
      <c r="AL3" s="750"/>
      <c r="AM3" s="750"/>
      <c r="AN3" s="750"/>
      <c r="AO3" s="750"/>
    </row>
    <row r="4" spans="29:36" ht="9" customHeight="1">
      <c r="AC4" s="753"/>
      <c r="AD4" s="753"/>
      <c r="AE4" s="753"/>
      <c r="AF4" s="753"/>
      <c r="AG4" s="753"/>
      <c r="AH4" s="753"/>
      <c r="AI4" s="753"/>
      <c r="AJ4" s="753"/>
    </row>
    <row r="5" spans="1:46" s="1259" customFormat="1" ht="30" customHeight="1">
      <c r="A5" s="1565" t="s">
        <v>488</v>
      </c>
      <c r="B5" s="1566" t="s">
        <v>1159</v>
      </c>
      <c r="C5" s="1560" t="s">
        <v>1253</v>
      </c>
      <c r="D5" s="1564" t="s">
        <v>1030</v>
      </c>
      <c r="E5" s="1564"/>
      <c r="F5" s="1564"/>
      <c r="G5" s="1564"/>
      <c r="H5" s="1564"/>
      <c r="I5" s="1555" t="s">
        <v>1256</v>
      </c>
      <c r="J5" s="1555"/>
      <c r="K5" s="1570" t="s">
        <v>1257</v>
      </c>
      <c r="L5" s="1571"/>
      <c r="M5" s="1572"/>
      <c r="N5" s="1569" t="s">
        <v>1160</v>
      </c>
      <c r="O5" s="1256" t="s">
        <v>1579</v>
      </c>
      <c r="P5" s="1257"/>
      <c r="Q5" s="1257"/>
      <c r="R5" s="1257"/>
      <c r="S5" s="1257"/>
      <c r="T5" s="1258"/>
      <c r="U5" s="1573" t="s">
        <v>1217</v>
      </c>
      <c r="V5" s="1574"/>
      <c r="W5" s="1574"/>
      <c r="X5" s="1574"/>
      <c r="Y5" s="1574"/>
      <c r="Z5" s="1574"/>
      <c r="AA5" s="1575"/>
      <c r="AB5" s="1555" t="s">
        <v>1260</v>
      </c>
      <c r="AC5" s="1555"/>
      <c r="AD5" s="1555"/>
      <c r="AE5" s="1549" t="s">
        <v>1455</v>
      </c>
      <c r="AF5" s="1549"/>
      <c r="AG5" s="1549"/>
      <c r="AH5" s="1549"/>
      <c r="AI5" s="1549"/>
      <c r="AJ5" s="1550"/>
      <c r="AK5" s="1553" t="s">
        <v>1346</v>
      </c>
      <c r="AL5" s="1549"/>
      <c r="AM5" s="1549"/>
      <c r="AN5" s="1549"/>
      <c r="AO5" s="1550"/>
      <c r="AP5" s="1555" t="s">
        <v>1264</v>
      </c>
      <c r="AQ5" s="1555"/>
      <c r="AR5" s="1555"/>
      <c r="AS5" s="1555" t="s">
        <v>1265</v>
      </c>
      <c r="AT5" s="1555"/>
    </row>
    <row r="6" spans="1:46" s="1259" customFormat="1" ht="17.25" customHeight="1">
      <c r="A6" s="1565"/>
      <c r="B6" s="1567"/>
      <c r="C6" s="1562"/>
      <c r="D6" s="1560" t="s">
        <v>2276</v>
      </c>
      <c r="E6" s="1564" t="s">
        <v>1215</v>
      </c>
      <c r="F6" s="1556" t="s">
        <v>1254</v>
      </c>
      <c r="G6" s="1556" t="s">
        <v>1255</v>
      </c>
      <c r="H6" s="1556" t="s">
        <v>1271</v>
      </c>
      <c r="I6" s="1556" t="s">
        <v>1251</v>
      </c>
      <c r="J6" s="1556" t="s">
        <v>1252</v>
      </c>
      <c r="K6" s="1556" t="s">
        <v>2275</v>
      </c>
      <c r="L6" s="1556" t="s">
        <v>1258</v>
      </c>
      <c r="M6" s="1556" t="s">
        <v>1259</v>
      </c>
      <c r="N6" s="1567"/>
      <c r="O6" s="1560" t="s">
        <v>1216</v>
      </c>
      <c r="P6" s="1560" t="s">
        <v>1161</v>
      </c>
      <c r="Q6" s="1573" t="s">
        <v>1162</v>
      </c>
      <c r="R6" s="1574"/>
      <c r="S6" s="1574"/>
      <c r="T6" s="1575"/>
      <c r="U6" s="1556" t="s">
        <v>1360</v>
      </c>
      <c r="V6" s="1560" t="s">
        <v>1417</v>
      </c>
      <c r="W6" s="1560" t="s">
        <v>1433</v>
      </c>
      <c r="X6" s="1560" t="s">
        <v>1480</v>
      </c>
      <c r="Y6" s="1576" t="s">
        <v>1513</v>
      </c>
      <c r="Z6" s="1560" t="s">
        <v>1577</v>
      </c>
      <c r="AA6" s="1560" t="s">
        <v>1431</v>
      </c>
      <c r="AB6" s="1556" t="s">
        <v>1261</v>
      </c>
      <c r="AC6" s="1558" t="s">
        <v>1262</v>
      </c>
      <c r="AD6" s="1558" t="s">
        <v>1263</v>
      </c>
      <c r="AE6" s="1551"/>
      <c r="AF6" s="1551"/>
      <c r="AG6" s="1551"/>
      <c r="AH6" s="1551"/>
      <c r="AI6" s="1551"/>
      <c r="AJ6" s="1552"/>
      <c r="AK6" s="1554"/>
      <c r="AL6" s="1551"/>
      <c r="AM6" s="1551"/>
      <c r="AN6" s="1551"/>
      <c r="AO6" s="1552"/>
      <c r="AP6" s="1555" t="s">
        <v>1266</v>
      </c>
      <c r="AQ6" s="1555" t="s">
        <v>1267</v>
      </c>
      <c r="AR6" s="1555" t="s">
        <v>1268</v>
      </c>
      <c r="AS6" s="1555" t="s">
        <v>1269</v>
      </c>
      <c r="AT6" s="1555" t="s">
        <v>1270</v>
      </c>
    </row>
    <row r="7" spans="1:46" s="1259" customFormat="1" ht="73.5" customHeight="1">
      <c r="A7" s="1565"/>
      <c r="B7" s="1568"/>
      <c r="C7" s="1563"/>
      <c r="D7" s="1563"/>
      <c r="E7" s="1564"/>
      <c r="F7" s="1557"/>
      <c r="G7" s="1557"/>
      <c r="H7" s="1557"/>
      <c r="I7" s="1557"/>
      <c r="J7" s="1557"/>
      <c r="K7" s="1557"/>
      <c r="L7" s="1557"/>
      <c r="M7" s="1557"/>
      <c r="N7" s="1568"/>
      <c r="O7" s="1563"/>
      <c r="P7" s="1563"/>
      <c r="Q7" s="1260" t="s">
        <v>1347</v>
      </c>
      <c r="R7" s="1260" t="s">
        <v>1286</v>
      </c>
      <c r="S7" s="1260" t="s">
        <v>1287</v>
      </c>
      <c r="T7" s="1255" t="s">
        <v>1164</v>
      </c>
      <c r="U7" s="1557"/>
      <c r="V7" s="1561"/>
      <c r="W7" s="1561"/>
      <c r="X7" s="1561"/>
      <c r="Y7" s="1504"/>
      <c r="Z7" s="1563"/>
      <c r="AA7" s="1563"/>
      <c r="AB7" s="1557"/>
      <c r="AC7" s="1559"/>
      <c r="AD7" s="1559"/>
      <c r="AE7" s="1260" t="s">
        <v>1421</v>
      </c>
      <c r="AF7" s="1260" t="s">
        <v>1433</v>
      </c>
      <c r="AG7" s="1260" t="s">
        <v>1477</v>
      </c>
      <c r="AH7" s="1261" t="s">
        <v>1515</v>
      </c>
      <c r="AI7" s="1260" t="s">
        <v>1580</v>
      </c>
      <c r="AJ7" s="1260" t="s">
        <v>1486</v>
      </c>
      <c r="AK7" s="1262">
        <v>2018</v>
      </c>
      <c r="AL7" s="1262">
        <v>2019</v>
      </c>
      <c r="AM7" s="1262">
        <v>2020</v>
      </c>
      <c r="AN7" s="1262">
        <v>2021</v>
      </c>
      <c r="AO7" s="1262">
        <v>2022</v>
      </c>
      <c r="AP7" s="1555"/>
      <c r="AQ7" s="1555"/>
      <c r="AR7" s="1555"/>
      <c r="AS7" s="1555"/>
      <c r="AT7" s="1555"/>
    </row>
    <row r="8" spans="1:46" s="1263" customFormat="1" ht="18" customHeight="1">
      <c r="A8" s="1264"/>
      <c r="B8" s="1264" t="s">
        <v>1165</v>
      </c>
      <c r="C8" s="1265"/>
      <c r="D8" s="1265"/>
      <c r="E8" s="1264"/>
      <c r="F8" s="1264"/>
      <c r="G8" s="1264"/>
      <c r="H8" s="1264"/>
      <c r="I8" s="1264"/>
      <c r="J8" s="1265"/>
      <c r="K8" s="1265"/>
      <c r="L8" s="1265"/>
      <c r="M8" s="1265"/>
      <c r="N8" s="1265"/>
      <c r="O8" s="1265"/>
      <c r="P8" s="1266">
        <f>P9+P42</f>
        <v>147928.7973075926</v>
      </c>
      <c r="Q8" s="1266">
        <f>Q9+Q42</f>
        <v>131698.39029102633</v>
      </c>
      <c r="R8" s="1266">
        <f>R9+R42</f>
        <v>14335.674859566341</v>
      </c>
      <c r="S8" s="1266">
        <f>S9+S42</f>
        <v>1894.7321570000001</v>
      </c>
      <c r="T8" s="1266"/>
      <c r="U8" s="1266">
        <f aca="true" t="shared" si="0" ref="U8:AA8">U9+U42</f>
        <v>455</v>
      </c>
      <c r="V8" s="1266">
        <f t="shared" si="0"/>
        <v>5213.923000000001</v>
      </c>
      <c r="W8" s="1266">
        <f t="shared" si="0"/>
        <v>28625</v>
      </c>
      <c r="X8" s="1266">
        <f t="shared" si="0"/>
        <v>8906.922</v>
      </c>
      <c r="Y8" s="1266">
        <f t="shared" si="0"/>
        <v>68549.144</v>
      </c>
      <c r="Z8" s="1266">
        <f t="shared" si="0"/>
        <v>32235.104999999996</v>
      </c>
      <c r="AA8" s="1266">
        <f t="shared" si="0"/>
        <v>3943.703307592651</v>
      </c>
      <c r="AB8" s="1267"/>
      <c r="AC8" s="1267"/>
      <c r="AD8" s="1268">
        <f aca="true" t="shared" si="1" ref="AD8:AI8">AD9+AD42</f>
        <v>13277</v>
      </c>
      <c r="AE8" s="1269">
        <f t="shared" si="1"/>
        <v>0</v>
      </c>
      <c r="AF8" s="1270">
        <f>AF9+AF42</f>
        <v>5802</v>
      </c>
      <c r="AG8" s="1270">
        <f t="shared" si="1"/>
        <v>724</v>
      </c>
      <c r="AH8" s="1270">
        <f t="shared" si="1"/>
        <v>4089</v>
      </c>
      <c r="AI8" s="1270">
        <f t="shared" si="1"/>
        <v>1689</v>
      </c>
      <c r="AJ8" s="1270">
        <v>0</v>
      </c>
      <c r="AK8" s="1269">
        <f>AK9+AK42</f>
        <v>0</v>
      </c>
      <c r="AL8" s="1269">
        <f>AL9+AL42</f>
        <v>0</v>
      </c>
      <c r="AM8" s="1269">
        <f>AM9+AM42</f>
        <v>0</v>
      </c>
      <c r="AN8" s="1269">
        <f>AN9+AN42</f>
        <v>3624</v>
      </c>
      <c r="AO8" s="1269">
        <f>AO9+AO42</f>
        <v>2282.4</v>
      </c>
      <c r="AP8" s="1271"/>
      <c r="AQ8" s="1271"/>
      <c r="AR8" s="1271"/>
      <c r="AS8" s="1272"/>
      <c r="AT8" s="1272"/>
    </row>
    <row r="9" spans="1:46" s="1263" customFormat="1" ht="18" customHeight="1">
      <c r="A9" s="1264" t="s">
        <v>486</v>
      </c>
      <c r="B9" s="1265" t="s">
        <v>1339</v>
      </c>
      <c r="C9" s="1265"/>
      <c r="D9" s="1265"/>
      <c r="E9" s="1264"/>
      <c r="F9" s="1264"/>
      <c r="G9" s="1264"/>
      <c r="H9" s="1264"/>
      <c r="I9" s="1264"/>
      <c r="J9" s="1265"/>
      <c r="K9" s="1265"/>
      <c r="L9" s="1265"/>
      <c r="M9" s="1265"/>
      <c r="N9" s="1265"/>
      <c r="O9" s="1265"/>
      <c r="P9" s="1266">
        <f>SUM(P10:P41)</f>
        <v>147928.7973075926</v>
      </c>
      <c r="Q9" s="1266">
        <f aca="true" t="shared" si="2" ref="Q9:AM9">SUM(Q10:Q41)</f>
        <v>131698.39029102633</v>
      </c>
      <c r="R9" s="1266">
        <f t="shared" si="2"/>
        <v>14335.674859566341</v>
      </c>
      <c r="S9" s="1266">
        <f t="shared" si="2"/>
        <v>1894.7321570000001</v>
      </c>
      <c r="T9" s="1266">
        <f t="shared" si="2"/>
        <v>0</v>
      </c>
      <c r="U9" s="1266">
        <f aca="true" t="shared" si="3" ref="U9:Z9">SUM(U10:U41)</f>
        <v>455</v>
      </c>
      <c r="V9" s="1266">
        <f t="shared" si="3"/>
        <v>5213.923000000001</v>
      </c>
      <c r="W9" s="1266">
        <f t="shared" si="3"/>
        <v>28625</v>
      </c>
      <c r="X9" s="1266">
        <f t="shared" si="3"/>
        <v>8906.922</v>
      </c>
      <c r="Y9" s="1266">
        <f t="shared" si="3"/>
        <v>68549.144</v>
      </c>
      <c r="Z9" s="1266">
        <f t="shared" si="3"/>
        <v>32235.104999999996</v>
      </c>
      <c r="AA9" s="1266">
        <f>AA37+AA38+AA39+AA40+AA41</f>
        <v>3943.703307592651</v>
      </c>
      <c r="AB9" s="1273">
        <f t="shared" si="2"/>
        <v>0</v>
      </c>
      <c r="AC9" s="1273"/>
      <c r="AD9" s="1274">
        <f t="shared" si="2"/>
        <v>12270</v>
      </c>
      <c r="AE9" s="1273">
        <f t="shared" si="2"/>
        <v>0</v>
      </c>
      <c r="AF9" s="1274">
        <f>SUM(AF10:AF41)</f>
        <v>5083</v>
      </c>
      <c r="AG9" s="1274">
        <f t="shared" si="2"/>
        <v>590</v>
      </c>
      <c r="AH9" s="1274">
        <f t="shared" si="2"/>
        <v>4089</v>
      </c>
      <c r="AI9" s="1274">
        <f t="shared" si="2"/>
        <v>1689</v>
      </c>
      <c r="AJ9" s="1273">
        <f t="shared" si="2"/>
        <v>0</v>
      </c>
      <c r="AK9" s="1273">
        <f t="shared" si="2"/>
        <v>0</v>
      </c>
      <c r="AL9" s="1273">
        <f t="shared" si="2"/>
        <v>0</v>
      </c>
      <c r="AM9" s="1273">
        <f t="shared" si="2"/>
        <v>0</v>
      </c>
      <c r="AN9" s="1269">
        <f>SUM(AN10:AN41)</f>
        <v>3473</v>
      </c>
      <c r="AO9" s="1269">
        <f>SUM(AO10:AO41)</f>
        <v>2282.4</v>
      </c>
      <c r="AP9" s="1271"/>
      <c r="AQ9" s="1271"/>
      <c r="AR9" s="1271"/>
      <c r="AS9" s="1272"/>
      <c r="AT9" s="1272"/>
    </row>
    <row r="10" spans="1:46" s="1263" customFormat="1" ht="48.75" customHeight="1">
      <c r="A10" s="1272">
        <v>1</v>
      </c>
      <c r="B10" s="1275" t="s">
        <v>2153</v>
      </c>
      <c r="C10" s="1275"/>
      <c r="D10" s="133" t="s">
        <v>2155</v>
      </c>
      <c r="E10" s="133" t="s">
        <v>1334</v>
      </c>
      <c r="F10" s="133" t="s">
        <v>2156</v>
      </c>
      <c r="G10" s="133" t="s">
        <v>2157</v>
      </c>
      <c r="H10" s="133" t="s">
        <v>2158</v>
      </c>
      <c r="I10" s="133">
        <v>8</v>
      </c>
      <c r="J10" s="1276" t="s">
        <v>2159</v>
      </c>
      <c r="K10" s="133" t="s">
        <v>2155</v>
      </c>
      <c r="L10" s="133">
        <f>+AD10*0.23</f>
        <v>95.68</v>
      </c>
      <c r="M10" s="1277" t="s">
        <v>2160</v>
      </c>
      <c r="N10" s="1275" t="s">
        <v>2161</v>
      </c>
      <c r="O10" s="1275" t="s">
        <v>2162</v>
      </c>
      <c r="P10" s="1278">
        <v>8463.47</v>
      </c>
      <c r="Q10" s="1278">
        <f>P10-R10</f>
        <v>8376.735999999999</v>
      </c>
      <c r="R10" s="1278">
        <v>86.734</v>
      </c>
      <c r="S10" s="1278"/>
      <c r="T10" s="1278"/>
      <c r="U10" s="1279">
        <v>0</v>
      </c>
      <c r="V10" s="1278">
        <f>720.074-650</f>
        <v>70.07399999999996</v>
      </c>
      <c r="W10" s="1278">
        <v>3037.5</v>
      </c>
      <c r="X10" s="1278">
        <f>665.51+450+650</f>
        <v>1765.51</v>
      </c>
      <c r="Y10" s="1278">
        <f>P10-V10-W10-X10</f>
        <v>3590.3859999999986</v>
      </c>
      <c r="Z10" s="1278"/>
      <c r="AA10" s="1278">
        <f>P10-U10-V10-W10-X10-Y10</f>
        <v>0</v>
      </c>
      <c r="AB10" s="1271" t="s">
        <v>2155</v>
      </c>
      <c r="AC10" s="1277">
        <f>+L10</f>
        <v>95.68</v>
      </c>
      <c r="AD10" s="1280">
        <v>416</v>
      </c>
      <c r="AE10" s="1281"/>
      <c r="AF10" s="1282">
        <v>418</v>
      </c>
      <c r="AG10" s="1281"/>
      <c r="AH10" s="1281"/>
      <c r="AI10" s="1281"/>
      <c r="AJ10" s="1281"/>
      <c r="AK10" s="1281"/>
      <c r="AL10" s="1281"/>
      <c r="AM10" s="1283"/>
      <c r="AN10" s="1281">
        <v>384</v>
      </c>
      <c r="AO10" s="1281"/>
      <c r="AP10" s="1277" t="s">
        <v>1157</v>
      </c>
      <c r="AQ10" s="1284">
        <v>3.5</v>
      </c>
      <c r="AR10" s="1284">
        <f>50%*AQ10</f>
        <v>1.75</v>
      </c>
      <c r="AS10" s="1272" t="s">
        <v>2163</v>
      </c>
      <c r="AT10" s="1285" t="s">
        <v>2164</v>
      </c>
    </row>
    <row r="11" spans="1:46" s="1263" customFormat="1" ht="46.5" customHeight="1">
      <c r="A11" s="1272">
        <v>2</v>
      </c>
      <c r="B11" s="1275" t="s">
        <v>2165</v>
      </c>
      <c r="C11" s="1286"/>
      <c r="D11" s="1272" t="s">
        <v>2155</v>
      </c>
      <c r="E11" s="133" t="s">
        <v>1334</v>
      </c>
      <c r="F11" s="1272" t="s">
        <v>2156</v>
      </c>
      <c r="G11" s="1272" t="s">
        <v>2166</v>
      </c>
      <c r="H11" s="133" t="s">
        <v>2158</v>
      </c>
      <c r="I11" s="133">
        <v>8</v>
      </c>
      <c r="J11" s="1276" t="s">
        <v>2167</v>
      </c>
      <c r="K11" s="133" t="s">
        <v>2155</v>
      </c>
      <c r="L11" s="133">
        <v>108</v>
      </c>
      <c r="M11" s="1277" t="s">
        <v>2160</v>
      </c>
      <c r="N11" s="1275" t="s">
        <v>2161</v>
      </c>
      <c r="O11" s="1275" t="s">
        <v>2168</v>
      </c>
      <c r="P11" s="1278">
        <v>8726.356</v>
      </c>
      <c r="Q11" s="1278">
        <v>8629.541000000001</v>
      </c>
      <c r="R11" s="1278">
        <v>96.815</v>
      </c>
      <c r="S11" s="1278"/>
      <c r="T11" s="1278"/>
      <c r="U11" s="1278">
        <v>415</v>
      </c>
      <c r="V11" s="1278">
        <v>274.8</v>
      </c>
      <c r="W11" s="1278">
        <v>3318.75</v>
      </c>
      <c r="X11" s="1278">
        <v>450</v>
      </c>
      <c r="Y11" s="1278">
        <f>P11-U11-V11-W11-X11</f>
        <v>4267.806</v>
      </c>
      <c r="Z11" s="1278"/>
      <c r="AA11" s="1278">
        <f aca="true" t="shared" si="4" ref="AA11:AA21">P11-U11-V11-W11-X11-Y11</f>
        <v>0</v>
      </c>
      <c r="AB11" s="1271" t="s">
        <v>2155</v>
      </c>
      <c r="AC11" s="1287">
        <v>112</v>
      </c>
      <c r="AD11" s="1288">
        <v>469</v>
      </c>
      <c r="AE11" s="1281"/>
      <c r="AF11" s="1282">
        <v>447</v>
      </c>
      <c r="AG11" s="1281"/>
      <c r="AH11" s="1281"/>
      <c r="AI11" s="1281"/>
      <c r="AJ11" s="1281"/>
      <c r="AK11" s="1281"/>
      <c r="AL11" s="1281"/>
      <c r="AM11" s="1283"/>
      <c r="AN11" s="1281">
        <v>0</v>
      </c>
      <c r="AO11" s="1281"/>
      <c r="AP11" s="1277" t="s">
        <v>1157</v>
      </c>
      <c r="AQ11" s="1289">
        <v>4.9</v>
      </c>
      <c r="AR11" s="1284">
        <v>2.7</v>
      </c>
      <c r="AS11" s="1272" t="s">
        <v>2163</v>
      </c>
      <c r="AT11" s="1285" t="s">
        <v>2164</v>
      </c>
    </row>
    <row r="12" spans="1:46" s="1263" customFormat="1" ht="54.75" customHeight="1">
      <c r="A12" s="1272">
        <v>3</v>
      </c>
      <c r="B12" s="1275" t="s">
        <v>2169</v>
      </c>
      <c r="C12" s="1275"/>
      <c r="D12" s="133" t="s">
        <v>2155</v>
      </c>
      <c r="E12" s="133" t="s">
        <v>1334</v>
      </c>
      <c r="F12" s="133" t="s">
        <v>2156</v>
      </c>
      <c r="G12" s="133" t="s">
        <v>2157</v>
      </c>
      <c r="H12" s="133" t="s">
        <v>2158</v>
      </c>
      <c r="I12" s="133">
        <v>12</v>
      </c>
      <c r="J12" s="1276" t="s">
        <v>2170</v>
      </c>
      <c r="K12" s="133" t="s">
        <v>2155</v>
      </c>
      <c r="L12" s="1290">
        <v>150</v>
      </c>
      <c r="M12" s="1275" t="s">
        <v>2160</v>
      </c>
      <c r="N12" s="1275" t="s">
        <v>2161</v>
      </c>
      <c r="O12" s="1285" t="s">
        <v>2171</v>
      </c>
      <c r="P12" s="1278">
        <v>5382.311</v>
      </c>
      <c r="Q12" s="1278">
        <v>5176.838</v>
      </c>
      <c r="R12" s="1278">
        <v>205.473</v>
      </c>
      <c r="S12" s="1278"/>
      <c r="T12" s="1278"/>
      <c r="U12" s="1278">
        <v>0</v>
      </c>
      <c r="V12" s="1278">
        <v>359.698</v>
      </c>
      <c r="W12" s="1278">
        <v>2025</v>
      </c>
      <c r="X12" s="1278">
        <v>270</v>
      </c>
      <c r="Y12" s="1278">
        <f aca="true" t="shared" si="5" ref="Y12:Y21">P12-U12-V12-W12-X12</f>
        <v>2727.6129999999994</v>
      </c>
      <c r="Z12" s="1278"/>
      <c r="AA12" s="1278">
        <f t="shared" si="4"/>
        <v>0</v>
      </c>
      <c r="AB12" s="1271" t="s">
        <v>2155</v>
      </c>
      <c r="AC12" s="1291">
        <v>150</v>
      </c>
      <c r="AD12" s="1282">
        <v>471</v>
      </c>
      <c r="AE12" s="1281"/>
      <c r="AF12" s="1282">
        <v>415</v>
      </c>
      <c r="AG12" s="1281"/>
      <c r="AH12" s="1281"/>
      <c r="AI12" s="1281"/>
      <c r="AJ12" s="1281"/>
      <c r="AK12" s="1281"/>
      <c r="AL12" s="1281"/>
      <c r="AM12" s="1281"/>
      <c r="AN12" s="1281">
        <v>0</v>
      </c>
      <c r="AO12" s="1281">
        <v>0</v>
      </c>
      <c r="AP12" s="1292" t="s">
        <v>1157</v>
      </c>
      <c r="AQ12" s="1293">
        <v>7.4</v>
      </c>
      <c r="AR12" s="1271">
        <f aca="true" t="shared" si="6" ref="AR12:AR32">50%*AQ12</f>
        <v>3.7</v>
      </c>
      <c r="AS12" s="1285" t="s">
        <v>2172</v>
      </c>
      <c r="AT12" s="1285" t="s">
        <v>2164</v>
      </c>
    </row>
    <row r="13" spans="1:46" s="1263" customFormat="1" ht="36" customHeight="1">
      <c r="A13" s="1272">
        <v>4</v>
      </c>
      <c r="B13" s="1275" t="s">
        <v>2173</v>
      </c>
      <c r="C13" s="1275"/>
      <c r="D13" s="133" t="s">
        <v>2155</v>
      </c>
      <c r="E13" s="133" t="s">
        <v>1334</v>
      </c>
      <c r="F13" s="133" t="s">
        <v>2156</v>
      </c>
      <c r="G13" s="133" t="s">
        <v>2157</v>
      </c>
      <c r="H13" s="133" t="s">
        <v>2158</v>
      </c>
      <c r="I13" s="133">
        <v>8</v>
      </c>
      <c r="J13" s="1294" t="s">
        <v>2174</v>
      </c>
      <c r="K13" s="133" t="s">
        <v>2155</v>
      </c>
      <c r="L13" s="133">
        <v>200</v>
      </c>
      <c r="M13" s="1295" t="s">
        <v>2160</v>
      </c>
      <c r="N13" s="1275" t="s">
        <v>2161</v>
      </c>
      <c r="O13" s="1285" t="s">
        <v>2175</v>
      </c>
      <c r="P13" s="1278">
        <v>4400.295</v>
      </c>
      <c r="Q13" s="1278">
        <v>4181.464</v>
      </c>
      <c r="R13" s="1278">
        <v>218.831</v>
      </c>
      <c r="S13" s="1278">
        <v>0</v>
      </c>
      <c r="T13" s="1278">
        <v>0</v>
      </c>
      <c r="U13" s="1278">
        <v>40</v>
      </c>
      <c r="V13" s="1278">
        <v>468.17</v>
      </c>
      <c r="W13" s="1278">
        <v>1642.5</v>
      </c>
      <c r="X13" s="1278">
        <v>270</v>
      </c>
      <c r="Y13" s="1278">
        <f t="shared" si="5"/>
        <v>1979.625</v>
      </c>
      <c r="Z13" s="1278"/>
      <c r="AA13" s="1278">
        <f t="shared" si="4"/>
        <v>0</v>
      </c>
      <c r="AB13" s="1271" t="s">
        <v>2155</v>
      </c>
      <c r="AC13" s="1296">
        <v>200</v>
      </c>
      <c r="AD13" s="1282">
        <v>450</v>
      </c>
      <c r="AE13" s="1281"/>
      <c r="AF13" s="1282">
        <v>440</v>
      </c>
      <c r="AG13" s="1281"/>
      <c r="AH13" s="1281"/>
      <c r="AI13" s="1281"/>
      <c r="AJ13" s="1281"/>
      <c r="AK13" s="1281"/>
      <c r="AL13" s="1281"/>
      <c r="AM13" s="1281"/>
      <c r="AN13" s="1281">
        <v>449</v>
      </c>
      <c r="AO13" s="1281"/>
      <c r="AP13" s="1292" t="s">
        <v>1157</v>
      </c>
      <c r="AQ13" s="1271">
        <v>7.2</v>
      </c>
      <c r="AR13" s="1271">
        <f t="shared" si="6"/>
        <v>3.6</v>
      </c>
      <c r="AS13" s="1272" t="s">
        <v>2176</v>
      </c>
      <c r="AT13" s="1285" t="s">
        <v>2164</v>
      </c>
    </row>
    <row r="14" spans="1:46" s="1263" customFormat="1" ht="42" customHeight="1">
      <c r="A14" s="1272">
        <v>5</v>
      </c>
      <c r="B14" s="1275" t="s">
        <v>2177</v>
      </c>
      <c r="C14" s="1275"/>
      <c r="D14" s="133" t="s">
        <v>2155</v>
      </c>
      <c r="E14" s="133" t="s">
        <v>1334</v>
      </c>
      <c r="F14" s="133" t="s">
        <v>2156</v>
      </c>
      <c r="G14" s="133" t="s">
        <v>2157</v>
      </c>
      <c r="H14" s="133" t="s">
        <v>2158</v>
      </c>
      <c r="I14" s="133">
        <v>7</v>
      </c>
      <c r="J14" s="1276" t="s">
        <v>2178</v>
      </c>
      <c r="K14" s="133" t="s">
        <v>2155</v>
      </c>
      <c r="L14" s="133">
        <v>88</v>
      </c>
      <c r="M14" s="1295" t="s">
        <v>2160</v>
      </c>
      <c r="N14" s="1275" t="s">
        <v>2161</v>
      </c>
      <c r="O14" s="1285" t="s">
        <v>2179</v>
      </c>
      <c r="P14" s="1278">
        <v>4974.863</v>
      </c>
      <c r="Q14" s="1278">
        <v>4714.912</v>
      </c>
      <c r="R14" s="1278">
        <v>259.951</v>
      </c>
      <c r="S14" s="1278"/>
      <c r="T14" s="1278"/>
      <c r="U14" s="1278">
        <v>0</v>
      </c>
      <c r="V14" s="1278">
        <v>340.96</v>
      </c>
      <c r="W14" s="1278">
        <v>1743.75</v>
      </c>
      <c r="X14" s="1278">
        <v>252</v>
      </c>
      <c r="Y14" s="1278">
        <f t="shared" si="5"/>
        <v>2638.1530000000002</v>
      </c>
      <c r="Z14" s="1278"/>
      <c r="AA14" s="1278">
        <f t="shared" si="4"/>
        <v>0</v>
      </c>
      <c r="AB14" s="1271" t="s">
        <v>2155</v>
      </c>
      <c r="AC14" s="1296">
        <v>88</v>
      </c>
      <c r="AD14" s="1297">
        <v>405</v>
      </c>
      <c r="AE14" s="1281"/>
      <c r="AF14" s="1282">
        <v>364</v>
      </c>
      <c r="AG14" s="1281"/>
      <c r="AH14" s="1281"/>
      <c r="AI14" s="1281"/>
      <c r="AJ14" s="1281"/>
      <c r="AK14" s="1281"/>
      <c r="AL14" s="1281"/>
      <c r="AM14" s="1281"/>
      <c r="AN14" s="1281">
        <v>342</v>
      </c>
      <c r="AO14" s="1281"/>
      <c r="AP14" s="1292" t="s">
        <v>1157</v>
      </c>
      <c r="AQ14" s="1271">
        <v>6.8</v>
      </c>
      <c r="AR14" s="1271">
        <f t="shared" si="6"/>
        <v>3.4</v>
      </c>
      <c r="AS14" s="1272" t="s">
        <v>2176</v>
      </c>
      <c r="AT14" s="1285" t="s">
        <v>2164</v>
      </c>
    </row>
    <row r="15" spans="1:46" s="1301" customFormat="1" ht="39.75" customHeight="1">
      <c r="A15" s="1272">
        <v>6</v>
      </c>
      <c r="B15" s="1275" t="s">
        <v>2180</v>
      </c>
      <c r="C15" s="1286"/>
      <c r="D15" s="133" t="s">
        <v>2155</v>
      </c>
      <c r="E15" s="133" t="s">
        <v>1334</v>
      </c>
      <c r="F15" s="133" t="s">
        <v>2156</v>
      </c>
      <c r="G15" s="133" t="s">
        <v>2157</v>
      </c>
      <c r="H15" s="133" t="s">
        <v>2158</v>
      </c>
      <c r="I15" s="133">
        <v>8</v>
      </c>
      <c r="J15" s="1294" t="s">
        <v>2181</v>
      </c>
      <c r="K15" s="133" t="s">
        <v>2155</v>
      </c>
      <c r="L15" s="133">
        <v>94.75</v>
      </c>
      <c r="M15" s="1298" t="s">
        <v>2160</v>
      </c>
      <c r="N15" s="1275" t="s">
        <v>2161</v>
      </c>
      <c r="O15" s="1285" t="s">
        <v>2182</v>
      </c>
      <c r="P15" s="1278">
        <v>5235.621</v>
      </c>
      <c r="Q15" s="1278">
        <f>P15-R15</f>
        <v>5122.685</v>
      </c>
      <c r="R15" s="1278">
        <v>112.936</v>
      </c>
      <c r="S15" s="1278"/>
      <c r="T15" s="1278"/>
      <c r="U15" s="1278">
        <v>0</v>
      </c>
      <c r="V15" s="1278">
        <v>501.63</v>
      </c>
      <c r="W15" s="1278">
        <v>1724.625</v>
      </c>
      <c r="X15" s="1278">
        <f>270+39</f>
        <v>309</v>
      </c>
      <c r="Y15" s="1278">
        <f t="shared" si="5"/>
        <v>2700.366</v>
      </c>
      <c r="Z15" s="1278"/>
      <c r="AA15" s="1278">
        <f t="shared" si="4"/>
        <v>0</v>
      </c>
      <c r="AB15" s="1271" t="s">
        <v>2155</v>
      </c>
      <c r="AC15" s="1299">
        <v>100</v>
      </c>
      <c r="AD15" s="1300">
        <v>363</v>
      </c>
      <c r="AE15" s="1281"/>
      <c r="AF15" s="1282">
        <v>315</v>
      </c>
      <c r="AG15" s="1281"/>
      <c r="AH15" s="1281"/>
      <c r="AI15" s="1281"/>
      <c r="AJ15" s="1281"/>
      <c r="AK15" s="1281"/>
      <c r="AL15" s="1281"/>
      <c r="AM15" s="1283"/>
      <c r="AN15" s="1281">
        <v>304</v>
      </c>
      <c r="AO15" s="1281"/>
      <c r="AP15" s="1292" t="s">
        <v>1157</v>
      </c>
      <c r="AQ15" s="1271">
        <v>6</v>
      </c>
      <c r="AR15" s="1284">
        <f>50%*AQ15</f>
        <v>3</v>
      </c>
      <c r="AS15" s="1272" t="s">
        <v>2163</v>
      </c>
      <c r="AT15" s="1285" t="s">
        <v>2164</v>
      </c>
    </row>
    <row r="16" spans="1:46" s="1305" customFormat="1" ht="34.5" customHeight="1">
      <c r="A16" s="1272">
        <v>7</v>
      </c>
      <c r="B16" s="1275" t="s">
        <v>2183</v>
      </c>
      <c r="C16" s="1275"/>
      <c r="D16" s="133" t="s">
        <v>2155</v>
      </c>
      <c r="E16" s="133" t="s">
        <v>1334</v>
      </c>
      <c r="F16" s="133" t="s">
        <v>2156</v>
      </c>
      <c r="G16" s="133" t="s">
        <v>2157</v>
      </c>
      <c r="H16" s="133" t="s">
        <v>2158</v>
      </c>
      <c r="I16" s="133">
        <v>14</v>
      </c>
      <c r="J16" s="1276" t="s">
        <v>2184</v>
      </c>
      <c r="K16" s="133" t="s">
        <v>2155</v>
      </c>
      <c r="L16" s="133">
        <v>165</v>
      </c>
      <c r="M16" s="1295" t="s">
        <v>2160</v>
      </c>
      <c r="N16" s="1275" t="s">
        <v>2161</v>
      </c>
      <c r="O16" s="1285" t="s">
        <v>2185</v>
      </c>
      <c r="P16" s="1278">
        <v>6576.851</v>
      </c>
      <c r="Q16" s="1278">
        <v>6254.656</v>
      </c>
      <c r="R16" s="1278">
        <v>322.195</v>
      </c>
      <c r="S16" s="1278"/>
      <c r="T16" s="1278"/>
      <c r="U16" s="1278">
        <v>0</v>
      </c>
      <c r="V16" s="1278">
        <v>366.71</v>
      </c>
      <c r="W16" s="1302">
        <v>2317.5</v>
      </c>
      <c r="X16" s="1278">
        <v>342</v>
      </c>
      <c r="Y16" s="1278">
        <f t="shared" si="5"/>
        <v>3550.6409999999996</v>
      </c>
      <c r="Z16" s="1278"/>
      <c r="AA16" s="1278">
        <f t="shared" si="4"/>
        <v>0</v>
      </c>
      <c r="AB16" s="1271" t="s">
        <v>2155</v>
      </c>
      <c r="AC16" s="1303">
        <v>165</v>
      </c>
      <c r="AD16" s="1304">
        <v>718</v>
      </c>
      <c r="AE16" s="1281"/>
      <c r="AF16" s="1282">
        <v>658</v>
      </c>
      <c r="AG16" s="1281"/>
      <c r="AH16" s="1281"/>
      <c r="AI16" s="1281"/>
      <c r="AJ16" s="1281"/>
      <c r="AK16" s="1281"/>
      <c r="AL16" s="1281"/>
      <c r="AM16" s="1281"/>
      <c r="AN16" s="1281">
        <v>611</v>
      </c>
      <c r="AO16" s="1281"/>
      <c r="AP16" s="1292" t="s">
        <v>1157</v>
      </c>
      <c r="AQ16" s="1271">
        <v>9</v>
      </c>
      <c r="AR16" s="1271">
        <f t="shared" si="6"/>
        <v>4.5</v>
      </c>
      <c r="AS16" s="1272" t="s">
        <v>2176</v>
      </c>
      <c r="AT16" s="1285" t="s">
        <v>2164</v>
      </c>
    </row>
    <row r="17" spans="1:46" s="1263" customFormat="1" ht="75.75" customHeight="1">
      <c r="A17" s="1272">
        <v>8</v>
      </c>
      <c r="B17" s="1275" t="s">
        <v>2186</v>
      </c>
      <c r="C17" s="1275"/>
      <c r="D17" s="133" t="s">
        <v>2155</v>
      </c>
      <c r="E17" s="133" t="s">
        <v>1334</v>
      </c>
      <c r="F17" s="133" t="s">
        <v>2156</v>
      </c>
      <c r="G17" s="133" t="s">
        <v>2157</v>
      </c>
      <c r="H17" s="133" t="s">
        <v>2158</v>
      </c>
      <c r="I17" s="133">
        <v>15</v>
      </c>
      <c r="J17" s="1276" t="s">
        <v>2187</v>
      </c>
      <c r="K17" s="133" t="s">
        <v>2155</v>
      </c>
      <c r="L17" s="1306">
        <v>316</v>
      </c>
      <c r="M17" s="1295" t="s">
        <v>2160</v>
      </c>
      <c r="N17" s="1275" t="s">
        <v>2161</v>
      </c>
      <c r="O17" s="1285" t="s">
        <v>2188</v>
      </c>
      <c r="P17" s="1278">
        <v>6880.074</v>
      </c>
      <c r="Q17" s="1278">
        <f>P17-R17</f>
        <v>6752.143</v>
      </c>
      <c r="R17" s="1278">
        <v>127.931</v>
      </c>
      <c r="S17" s="1278"/>
      <c r="T17" s="1278"/>
      <c r="U17" s="1278">
        <v>0</v>
      </c>
      <c r="V17" s="1278">
        <v>419.521</v>
      </c>
      <c r="W17" s="1302">
        <v>2643.75</v>
      </c>
      <c r="X17" s="1278">
        <v>405</v>
      </c>
      <c r="Y17" s="1278">
        <f t="shared" si="5"/>
        <v>3411.803</v>
      </c>
      <c r="Z17" s="1278"/>
      <c r="AA17" s="1278">
        <f t="shared" si="4"/>
        <v>0</v>
      </c>
      <c r="AB17" s="1271" t="s">
        <v>2155</v>
      </c>
      <c r="AC17" s="1291">
        <v>316</v>
      </c>
      <c r="AD17" s="1282">
        <v>941</v>
      </c>
      <c r="AE17" s="1281"/>
      <c r="AF17" s="1282">
        <v>770</v>
      </c>
      <c r="AG17" s="1281">
        <v>104</v>
      </c>
      <c r="AH17" s="1281"/>
      <c r="AI17" s="1281"/>
      <c r="AJ17" s="1281"/>
      <c r="AK17" s="1281"/>
      <c r="AL17" s="1281"/>
      <c r="AM17" s="1281"/>
      <c r="AN17" s="1281">
        <v>289</v>
      </c>
      <c r="AO17" s="1281"/>
      <c r="AP17" s="1292" t="s">
        <v>1157</v>
      </c>
      <c r="AQ17" s="1307">
        <v>15.3</v>
      </c>
      <c r="AR17" s="1271">
        <f t="shared" si="6"/>
        <v>7.65</v>
      </c>
      <c r="AS17" s="1272" t="s">
        <v>2176</v>
      </c>
      <c r="AT17" s="1285" t="s">
        <v>2164</v>
      </c>
    </row>
    <row r="18" spans="1:46" s="1263" customFormat="1" ht="34.5" customHeight="1">
      <c r="A18" s="1272">
        <v>9</v>
      </c>
      <c r="B18" s="1275" t="s">
        <v>2189</v>
      </c>
      <c r="C18" s="1275"/>
      <c r="D18" s="133" t="s">
        <v>2155</v>
      </c>
      <c r="E18" s="133" t="s">
        <v>1334</v>
      </c>
      <c r="F18" s="133" t="s">
        <v>2156</v>
      </c>
      <c r="G18" s="133" t="s">
        <v>2157</v>
      </c>
      <c r="H18" s="133" t="s">
        <v>2158</v>
      </c>
      <c r="I18" s="133">
        <v>5</v>
      </c>
      <c r="J18" s="1276" t="s">
        <v>2190</v>
      </c>
      <c r="K18" s="133" t="s">
        <v>2155</v>
      </c>
      <c r="L18" s="133">
        <v>90</v>
      </c>
      <c r="M18" s="1295" t="s">
        <v>2160</v>
      </c>
      <c r="N18" s="1275" t="s">
        <v>2161</v>
      </c>
      <c r="O18" s="1285" t="s">
        <v>2191</v>
      </c>
      <c r="P18" s="1278">
        <v>3490.596</v>
      </c>
      <c r="Q18" s="1278">
        <v>3319.462</v>
      </c>
      <c r="R18" s="1278">
        <v>171.134</v>
      </c>
      <c r="S18" s="1278"/>
      <c r="T18" s="1278"/>
      <c r="U18" s="1278">
        <v>0</v>
      </c>
      <c r="V18" s="1278">
        <v>268.284</v>
      </c>
      <c r="W18" s="1278">
        <v>1125</v>
      </c>
      <c r="X18" s="1278">
        <v>180</v>
      </c>
      <c r="Y18" s="1278">
        <f t="shared" si="5"/>
        <v>1917.312</v>
      </c>
      <c r="Z18" s="1278"/>
      <c r="AA18" s="1278">
        <f t="shared" si="4"/>
        <v>0</v>
      </c>
      <c r="AB18" s="1271" t="s">
        <v>2155</v>
      </c>
      <c r="AC18" s="1291">
        <v>94</v>
      </c>
      <c r="AD18" s="1282">
        <v>246</v>
      </c>
      <c r="AE18" s="1281"/>
      <c r="AF18" s="1282">
        <v>230</v>
      </c>
      <c r="AG18" s="1281"/>
      <c r="AH18" s="1281"/>
      <c r="AI18" s="1281"/>
      <c r="AJ18" s="1281"/>
      <c r="AK18" s="1281"/>
      <c r="AL18" s="1281"/>
      <c r="AM18" s="1283"/>
      <c r="AN18" s="1281">
        <v>236</v>
      </c>
      <c r="AO18" s="1281"/>
      <c r="AP18" s="1292" t="s">
        <v>1157</v>
      </c>
      <c r="AQ18" s="1293">
        <v>9</v>
      </c>
      <c r="AR18" s="1271">
        <f>50%*AQ18</f>
        <v>4.5</v>
      </c>
      <c r="AS18" s="1272" t="s">
        <v>2176</v>
      </c>
      <c r="AT18" s="1285" t="s">
        <v>2164</v>
      </c>
    </row>
    <row r="19" spans="1:46" s="1263" customFormat="1" ht="45.75" customHeight="1">
      <c r="A19" s="1272">
        <v>10</v>
      </c>
      <c r="B19" s="1275" t="s">
        <v>2192</v>
      </c>
      <c r="C19" s="1275"/>
      <c r="D19" s="133" t="s">
        <v>2155</v>
      </c>
      <c r="E19" s="133" t="s">
        <v>1334</v>
      </c>
      <c r="F19" s="133" t="s">
        <v>2156</v>
      </c>
      <c r="G19" s="133" t="s">
        <v>2157</v>
      </c>
      <c r="H19" s="133" t="s">
        <v>2158</v>
      </c>
      <c r="I19" s="133">
        <v>8</v>
      </c>
      <c r="J19" s="1276" t="s">
        <v>2193</v>
      </c>
      <c r="K19" s="133" t="s">
        <v>2155</v>
      </c>
      <c r="L19" s="133">
        <v>203</v>
      </c>
      <c r="M19" s="1295" t="s">
        <v>2160</v>
      </c>
      <c r="N19" s="1275" t="s">
        <v>2161</v>
      </c>
      <c r="O19" s="1285" t="s">
        <v>2194</v>
      </c>
      <c r="P19" s="1278">
        <v>4816.425</v>
      </c>
      <c r="Q19" s="1278">
        <f>P19-R19</f>
        <v>4602.03</v>
      </c>
      <c r="R19" s="1278">
        <v>214.395</v>
      </c>
      <c r="S19" s="1278"/>
      <c r="T19" s="1278"/>
      <c r="U19" s="1278">
        <v>0</v>
      </c>
      <c r="V19" s="1278">
        <v>327.74</v>
      </c>
      <c r="W19" s="1278">
        <v>1743.75</v>
      </c>
      <c r="X19" s="1278">
        <v>270</v>
      </c>
      <c r="Y19" s="1278">
        <f t="shared" si="5"/>
        <v>2474.9350000000004</v>
      </c>
      <c r="Z19" s="1278"/>
      <c r="AA19" s="1278">
        <f t="shared" si="4"/>
        <v>0</v>
      </c>
      <c r="AB19" s="1271" t="s">
        <v>2155</v>
      </c>
      <c r="AC19" s="1291">
        <v>203</v>
      </c>
      <c r="AD19" s="1282">
        <v>637</v>
      </c>
      <c r="AE19" s="1281"/>
      <c r="AF19" s="1282">
        <v>602</v>
      </c>
      <c r="AG19" s="1281"/>
      <c r="AH19" s="1281"/>
      <c r="AI19" s="1281"/>
      <c r="AJ19" s="1281"/>
      <c r="AK19" s="1281"/>
      <c r="AL19" s="1281"/>
      <c r="AM19" s="1281"/>
      <c r="AN19" s="1281">
        <v>0</v>
      </c>
      <c r="AO19" s="1281"/>
      <c r="AP19" s="1292" t="s">
        <v>1157</v>
      </c>
      <c r="AQ19" s="1271">
        <v>9</v>
      </c>
      <c r="AR19" s="1271">
        <f t="shared" si="6"/>
        <v>4.5</v>
      </c>
      <c r="AS19" s="1272" t="s">
        <v>2176</v>
      </c>
      <c r="AT19" s="1285" t="s">
        <v>2164</v>
      </c>
    </row>
    <row r="20" spans="1:46" s="1263" customFormat="1" ht="44.25" customHeight="1">
      <c r="A20" s="1272">
        <v>11</v>
      </c>
      <c r="B20" s="1275" t="s">
        <v>2195</v>
      </c>
      <c r="C20" s="1275">
        <v>3</v>
      </c>
      <c r="D20" s="133"/>
      <c r="E20" s="133" t="s">
        <v>1334</v>
      </c>
      <c r="F20" s="133" t="s">
        <v>2156</v>
      </c>
      <c r="G20" s="133" t="s">
        <v>2157</v>
      </c>
      <c r="H20" s="133" t="s">
        <v>2158</v>
      </c>
      <c r="I20" s="133">
        <v>8</v>
      </c>
      <c r="J20" s="1276" t="s">
        <v>2196</v>
      </c>
      <c r="K20" s="133" t="s">
        <v>2155</v>
      </c>
      <c r="L20" s="133">
        <v>120</v>
      </c>
      <c r="M20" s="1295" t="s">
        <v>2160</v>
      </c>
      <c r="N20" s="1275" t="s">
        <v>2161</v>
      </c>
      <c r="O20" s="1285" t="s">
        <v>2197</v>
      </c>
      <c r="P20" s="1278">
        <v>7948.397</v>
      </c>
      <c r="Q20" s="1278">
        <v>7560.536</v>
      </c>
      <c r="R20" s="1278">
        <v>387.861</v>
      </c>
      <c r="S20" s="1278"/>
      <c r="T20" s="1278"/>
      <c r="U20" s="1278">
        <v>0</v>
      </c>
      <c r="V20" s="1278">
        <v>618.823</v>
      </c>
      <c r="W20" s="1278">
        <v>2981.25</v>
      </c>
      <c r="X20" s="1278">
        <v>735.671</v>
      </c>
      <c r="Y20" s="1278">
        <f>P20-U20-V20-W20-X20</f>
        <v>3612.6529999999993</v>
      </c>
      <c r="Z20" s="1278"/>
      <c r="AA20" s="1278">
        <f t="shared" si="4"/>
        <v>0</v>
      </c>
      <c r="AB20" s="1271" t="s">
        <v>2155</v>
      </c>
      <c r="AC20" s="1291">
        <v>120</v>
      </c>
      <c r="AD20" s="1282">
        <v>518</v>
      </c>
      <c r="AE20" s="1281"/>
      <c r="AF20" s="1282">
        <v>424</v>
      </c>
      <c r="AG20" s="1281"/>
      <c r="AH20" s="1281"/>
      <c r="AI20" s="1281"/>
      <c r="AJ20" s="1281"/>
      <c r="AK20" s="1281"/>
      <c r="AL20" s="1281"/>
      <c r="AM20" s="1286"/>
      <c r="AN20" s="1281">
        <v>400</v>
      </c>
      <c r="AO20" s="1281"/>
      <c r="AP20" s="1277" t="s">
        <v>1157</v>
      </c>
      <c r="AQ20" s="1271">
        <v>8</v>
      </c>
      <c r="AR20" s="1284">
        <f>50%*AQ20</f>
        <v>4</v>
      </c>
      <c r="AS20" s="1272"/>
      <c r="AT20" s="1285" t="s">
        <v>2164</v>
      </c>
    </row>
    <row r="21" spans="1:46" s="1263" customFormat="1" ht="34.5" customHeight="1">
      <c r="A21" s="1272">
        <v>12</v>
      </c>
      <c r="B21" s="1275" t="s">
        <v>2198</v>
      </c>
      <c r="C21" s="1286"/>
      <c r="D21" s="133" t="s">
        <v>2155</v>
      </c>
      <c r="E21" s="133" t="s">
        <v>1334</v>
      </c>
      <c r="F21" s="133" t="s">
        <v>2156</v>
      </c>
      <c r="G21" s="133" t="s">
        <v>2157</v>
      </c>
      <c r="H21" s="133" t="s">
        <v>2158</v>
      </c>
      <c r="I21" s="133">
        <v>7</v>
      </c>
      <c r="J21" s="1294" t="s">
        <v>2199</v>
      </c>
      <c r="K21" s="133" t="s">
        <v>2155</v>
      </c>
      <c r="L21" s="133">
        <v>200</v>
      </c>
      <c r="M21" s="1286" t="s">
        <v>2200</v>
      </c>
      <c r="N21" s="1275" t="s">
        <v>2201</v>
      </c>
      <c r="O21" s="1285" t="s">
        <v>2202</v>
      </c>
      <c r="P21" s="1278">
        <v>6945.966</v>
      </c>
      <c r="Q21" s="1278">
        <v>6595.387000000001</v>
      </c>
      <c r="R21" s="1278">
        <v>350.579</v>
      </c>
      <c r="S21" s="1278"/>
      <c r="T21" s="1278"/>
      <c r="U21" s="1278">
        <v>0</v>
      </c>
      <c r="V21" s="1278">
        <v>697.513</v>
      </c>
      <c r="W21" s="1302">
        <v>2531.25</v>
      </c>
      <c r="X21" s="1278">
        <v>342.4</v>
      </c>
      <c r="Y21" s="1278">
        <f t="shared" si="5"/>
        <v>3374.8030000000003</v>
      </c>
      <c r="Z21" s="1278"/>
      <c r="AA21" s="1278">
        <f t="shared" si="4"/>
        <v>0</v>
      </c>
      <c r="AB21" s="1271" t="s">
        <v>2155</v>
      </c>
      <c r="AC21" s="1272">
        <v>200</v>
      </c>
      <c r="AD21" s="1308">
        <v>532</v>
      </c>
      <c r="AE21" s="1281"/>
      <c r="AF21" s="1282"/>
      <c r="AG21" s="1282">
        <v>486</v>
      </c>
      <c r="AH21" s="1281"/>
      <c r="AI21" s="1281"/>
      <c r="AJ21" s="1281"/>
      <c r="AK21" s="1281"/>
      <c r="AL21" s="1281"/>
      <c r="AM21" s="1286"/>
      <c r="AN21" s="1281">
        <v>458</v>
      </c>
      <c r="AO21" s="1281"/>
      <c r="AP21" s="1292" t="s">
        <v>1157</v>
      </c>
      <c r="AQ21" s="1271">
        <v>12</v>
      </c>
      <c r="AR21" s="1284">
        <f>50%*AQ21</f>
        <v>6</v>
      </c>
      <c r="AS21" s="1272" t="s">
        <v>2163</v>
      </c>
      <c r="AT21" s="1285" t="s">
        <v>2164</v>
      </c>
    </row>
    <row r="22" spans="1:46" s="1263" customFormat="1" ht="34.5" customHeight="1">
      <c r="A22" s="1272">
        <v>13</v>
      </c>
      <c r="B22" s="1275" t="s">
        <v>2203</v>
      </c>
      <c r="C22" s="1275"/>
      <c r="D22" s="133"/>
      <c r="E22" s="133" t="s">
        <v>1334</v>
      </c>
      <c r="F22" s="133" t="s">
        <v>2156</v>
      </c>
      <c r="G22" s="133" t="s">
        <v>2157</v>
      </c>
      <c r="H22" s="133" t="s">
        <v>2158</v>
      </c>
      <c r="I22" s="133">
        <v>6</v>
      </c>
      <c r="J22" s="1276" t="s">
        <v>2204</v>
      </c>
      <c r="K22" s="133" t="s">
        <v>2155</v>
      </c>
      <c r="L22" s="133">
        <v>40</v>
      </c>
      <c r="M22" s="1295" t="s">
        <v>2160</v>
      </c>
      <c r="N22" s="133">
        <v>2020</v>
      </c>
      <c r="O22" s="1285" t="s">
        <v>2205</v>
      </c>
      <c r="P22" s="1278">
        <v>1291.825</v>
      </c>
      <c r="Q22" s="1278">
        <v>992.446</v>
      </c>
      <c r="R22" s="1278">
        <f>P22-Q22</f>
        <v>299.379</v>
      </c>
      <c r="S22" s="1278"/>
      <c r="T22" s="1278"/>
      <c r="U22" s="1278"/>
      <c r="V22" s="1278">
        <v>0</v>
      </c>
      <c r="W22" s="1278">
        <v>110.25</v>
      </c>
      <c r="X22" s="1278">
        <v>80</v>
      </c>
      <c r="Y22" s="1278">
        <v>561.361</v>
      </c>
      <c r="Z22" s="1278">
        <f>P22-Y22-X22-W22-V22</f>
        <v>540.214</v>
      </c>
      <c r="AA22" s="1278">
        <f>P22-Z22-Y22-AA22-W22-V22</f>
        <v>0</v>
      </c>
      <c r="AB22" s="1271" t="s">
        <v>2155</v>
      </c>
      <c r="AC22" s="1291">
        <v>40</v>
      </c>
      <c r="AD22" s="1282">
        <f>155+12</f>
        <v>167</v>
      </c>
      <c r="AE22" s="1281"/>
      <c r="AF22" s="1282"/>
      <c r="AG22" s="1282"/>
      <c r="AH22" s="1282">
        <v>165</v>
      </c>
      <c r="AI22" s="1282"/>
      <c r="AJ22" s="1281"/>
      <c r="AK22" s="1281"/>
      <c r="AL22" s="1281"/>
      <c r="AM22" s="1281"/>
      <c r="AN22" s="1281"/>
      <c r="AO22" s="1281"/>
      <c r="AP22" s="1292" t="s">
        <v>1157</v>
      </c>
      <c r="AQ22" s="1271">
        <v>2.3</v>
      </c>
      <c r="AR22" s="1271">
        <f t="shared" si="6"/>
        <v>1.15</v>
      </c>
      <c r="AS22" s="1272" t="s">
        <v>2163</v>
      </c>
      <c r="AT22" s="1285" t="s">
        <v>2164</v>
      </c>
    </row>
    <row r="23" spans="1:46" s="1263" customFormat="1" ht="41.25" customHeight="1">
      <c r="A23" s="1272">
        <v>14</v>
      </c>
      <c r="B23" s="1275" t="s">
        <v>2206</v>
      </c>
      <c r="C23" s="1275"/>
      <c r="D23" s="133" t="s">
        <v>2155</v>
      </c>
      <c r="E23" s="133" t="s">
        <v>1334</v>
      </c>
      <c r="F23" s="133" t="s">
        <v>2156</v>
      </c>
      <c r="G23" s="133" t="s">
        <v>2157</v>
      </c>
      <c r="H23" s="133" t="s">
        <v>2158</v>
      </c>
      <c r="I23" s="133">
        <v>9</v>
      </c>
      <c r="J23" s="1276" t="s">
        <v>2207</v>
      </c>
      <c r="K23" s="133" t="s">
        <v>2155</v>
      </c>
      <c r="L23" s="133">
        <v>100</v>
      </c>
      <c r="M23" s="1295" t="s">
        <v>2160</v>
      </c>
      <c r="N23" s="133">
        <v>2020</v>
      </c>
      <c r="O23" s="1285" t="s">
        <v>2208</v>
      </c>
      <c r="P23" s="1278">
        <v>3378.575</v>
      </c>
      <c r="Q23" s="1278">
        <v>2764.058</v>
      </c>
      <c r="R23" s="1278">
        <f aca="true" t="shared" si="7" ref="R23:R36">P23-Q23</f>
        <v>614.5169999999998</v>
      </c>
      <c r="S23" s="1278"/>
      <c r="T23" s="1278"/>
      <c r="U23" s="1278">
        <v>0</v>
      </c>
      <c r="V23" s="1278">
        <v>170</v>
      </c>
      <c r="W23" s="1278">
        <v>40.5</v>
      </c>
      <c r="X23" s="1278">
        <v>110</v>
      </c>
      <c r="Y23" s="1278">
        <v>2488.385</v>
      </c>
      <c r="Z23" s="1278">
        <f aca="true" t="shared" si="8" ref="Z23:Z35">P23-Y23-X23-W23-V23</f>
        <v>569.6899999999996</v>
      </c>
      <c r="AA23" s="1278">
        <f aca="true" t="shared" si="9" ref="AA23:AA41">P23-Z23-Y23-X23-W23-V23</f>
        <v>0</v>
      </c>
      <c r="AB23" s="1271" t="s">
        <v>2155</v>
      </c>
      <c r="AC23" s="1296">
        <v>100</v>
      </c>
      <c r="AD23" s="1282">
        <f>93+124+80+127+56</f>
        <v>480</v>
      </c>
      <c r="AE23" s="1281"/>
      <c r="AF23" s="1282"/>
      <c r="AG23" s="1283"/>
      <c r="AH23" s="1282">
        <v>438</v>
      </c>
      <c r="AI23" s="1282"/>
      <c r="AJ23" s="1281"/>
      <c r="AK23" s="1281"/>
      <c r="AL23" s="1281"/>
      <c r="AM23" s="1281"/>
      <c r="AN23" s="1281"/>
      <c r="AO23" s="1281">
        <f>AH23*0.8</f>
        <v>350.40000000000003</v>
      </c>
      <c r="AP23" s="1292" t="s">
        <v>1157</v>
      </c>
      <c r="AQ23" s="1271">
        <v>4.8</v>
      </c>
      <c r="AR23" s="1271">
        <f t="shared" si="6"/>
        <v>2.4</v>
      </c>
      <c r="AS23" s="1272" t="s">
        <v>2176</v>
      </c>
      <c r="AT23" s="1285" t="s">
        <v>2164</v>
      </c>
    </row>
    <row r="24" spans="1:46" s="1263" customFormat="1" ht="34.5" customHeight="1">
      <c r="A24" s="1272">
        <v>15</v>
      </c>
      <c r="B24" s="1275" t="s">
        <v>2209</v>
      </c>
      <c r="C24" s="1275"/>
      <c r="D24" s="133" t="s">
        <v>2155</v>
      </c>
      <c r="E24" s="133" t="s">
        <v>1334</v>
      </c>
      <c r="F24" s="133" t="s">
        <v>2156</v>
      </c>
      <c r="G24" s="133" t="s">
        <v>2157</v>
      </c>
      <c r="H24" s="133" t="s">
        <v>2158</v>
      </c>
      <c r="I24" s="133">
        <v>3</v>
      </c>
      <c r="J24" s="1276" t="s">
        <v>2210</v>
      </c>
      <c r="K24" s="133" t="s">
        <v>2155</v>
      </c>
      <c r="L24" s="133">
        <v>36</v>
      </c>
      <c r="M24" s="1295" t="s">
        <v>2160</v>
      </c>
      <c r="N24" s="133">
        <v>2020</v>
      </c>
      <c r="O24" s="1285" t="s">
        <v>2211</v>
      </c>
      <c r="P24" s="1278">
        <v>2161.859</v>
      </c>
      <c r="Q24" s="1278">
        <v>1717.903</v>
      </c>
      <c r="R24" s="1278">
        <f t="shared" si="7"/>
        <v>443.9559999999999</v>
      </c>
      <c r="S24" s="1278"/>
      <c r="T24" s="1278"/>
      <c r="U24" s="1278">
        <v>0</v>
      </c>
      <c r="V24" s="1278">
        <v>0</v>
      </c>
      <c r="W24" s="1278">
        <v>180</v>
      </c>
      <c r="X24" s="1278">
        <v>75</v>
      </c>
      <c r="Y24" s="1278">
        <v>1088.19</v>
      </c>
      <c r="Z24" s="1278">
        <f t="shared" si="8"/>
        <v>818.6689999999999</v>
      </c>
      <c r="AA24" s="1278">
        <f t="shared" si="9"/>
        <v>0</v>
      </c>
      <c r="AB24" s="1271" t="s">
        <v>2155</v>
      </c>
      <c r="AC24" s="1291">
        <v>53</v>
      </c>
      <c r="AD24" s="1282">
        <v>238</v>
      </c>
      <c r="AE24" s="1281"/>
      <c r="AF24" s="1282"/>
      <c r="AG24" s="1283"/>
      <c r="AH24" s="1282">
        <v>175</v>
      </c>
      <c r="AI24" s="1282"/>
      <c r="AJ24" s="1281"/>
      <c r="AK24" s="1281"/>
      <c r="AL24" s="1281"/>
      <c r="AM24" s="1281"/>
      <c r="AN24" s="1281"/>
      <c r="AO24" s="1281">
        <f>AH24*0.8</f>
        <v>140</v>
      </c>
      <c r="AP24" s="1292" t="s">
        <v>1157</v>
      </c>
      <c r="AQ24" s="1271">
        <v>2.3</v>
      </c>
      <c r="AR24" s="1271">
        <f t="shared" si="6"/>
        <v>1.15</v>
      </c>
      <c r="AS24" s="1272" t="s">
        <v>2176</v>
      </c>
      <c r="AT24" s="1285" t="s">
        <v>2164</v>
      </c>
    </row>
    <row r="25" spans="1:46" s="1309" customFormat="1" ht="34.5" customHeight="1">
      <c r="A25" s="1272">
        <v>16</v>
      </c>
      <c r="B25" s="1275" t="s">
        <v>2212</v>
      </c>
      <c r="C25" s="1275"/>
      <c r="D25" s="133" t="s">
        <v>2155</v>
      </c>
      <c r="E25" s="133" t="s">
        <v>1334</v>
      </c>
      <c r="F25" s="133" t="s">
        <v>2156</v>
      </c>
      <c r="G25" s="133" t="s">
        <v>2157</v>
      </c>
      <c r="H25" s="133" t="s">
        <v>2158</v>
      </c>
      <c r="I25" s="133">
        <v>5</v>
      </c>
      <c r="J25" s="1276" t="s">
        <v>2213</v>
      </c>
      <c r="K25" s="133" t="s">
        <v>2155</v>
      </c>
      <c r="L25" s="133">
        <v>100</v>
      </c>
      <c r="M25" s="1295" t="s">
        <v>2160</v>
      </c>
      <c r="N25" s="133">
        <v>2020</v>
      </c>
      <c r="O25" s="1285" t="s">
        <v>2214</v>
      </c>
      <c r="P25" s="1278">
        <v>2597.238</v>
      </c>
      <c r="Q25" s="1278">
        <v>1868</v>
      </c>
      <c r="R25" s="1278">
        <f t="shared" si="7"/>
        <v>729.2379999999998</v>
      </c>
      <c r="S25" s="1278"/>
      <c r="T25" s="1278"/>
      <c r="U25" s="1278">
        <v>0</v>
      </c>
      <c r="V25" s="1278">
        <v>170</v>
      </c>
      <c r="W25" s="1278">
        <v>259.875</v>
      </c>
      <c r="X25" s="1278">
        <v>115</v>
      </c>
      <c r="Y25" s="1278">
        <f>1815.732-48.2-0.047</f>
        <v>1767.485</v>
      </c>
      <c r="Z25" s="1278">
        <f t="shared" si="8"/>
        <v>284.87799999999993</v>
      </c>
      <c r="AA25" s="1278"/>
      <c r="AB25" s="1271" t="s">
        <v>2155</v>
      </c>
      <c r="AC25" s="1291">
        <v>100</v>
      </c>
      <c r="AD25" s="1282">
        <v>274</v>
      </c>
      <c r="AE25" s="1281"/>
      <c r="AF25" s="1282"/>
      <c r="AG25" s="1282"/>
      <c r="AH25" s="1282">
        <v>148</v>
      </c>
      <c r="AI25" s="1282"/>
      <c r="AJ25" s="1281"/>
      <c r="AK25" s="1281"/>
      <c r="AL25" s="1281"/>
      <c r="AM25" s="1281"/>
      <c r="AN25" s="1281"/>
      <c r="AO25" s="1281">
        <f>AH25*0.8</f>
        <v>118.4</v>
      </c>
      <c r="AP25" s="1292" t="s">
        <v>1157</v>
      </c>
      <c r="AQ25" s="1271">
        <v>4.8</v>
      </c>
      <c r="AR25" s="1271">
        <f t="shared" si="6"/>
        <v>2.4</v>
      </c>
      <c r="AS25" s="1272" t="s">
        <v>2176</v>
      </c>
      <c r="AT25" s="1285" t="s">
        <v>2164</v>
      </c>
    </row>
    <row r="26" spans="1:46" s="1263" customFormat="1" ht="34.5" customHeight="1">
      <c r="A26" s="1272">
        <v>17</v>
      </c>
      <c r="B26" s="1275" t="s">
        <v>2215</v>
      </c>
      <c r="C26" s="1275"/>
      <c r="D26" s="133" t="s">
        <v>2155</v>
      </c>
      <c r="E26" s="133" t="s">
        <v>1334</v>
      </c>
      <c r="F26" s="133" t="s">
        <v>2156</v>
      </c>
      <c r="G26" s="133" t="s">
        <v>2157</v>
      </c>
      <c r="H26" s="133" t="s">
        <v>2158</v>
      </c>
      <c r="I26" s="133">
        <v>5</v>
      </c>
      <c r="J26" s="1276" t="s">
        <v>2216</v>
      </c>
      <c r="K26" s="133" t="s">
        <v>2155</v>
      </c>
      <c r="L26" s="133">
        <v>60</v>
      </c>
      <c r="M26" s="1295" t="s">
        <v>2160</v>
      </c>
      <c r="N26" s="133">
        <v>2020</v>
      </c>
      <c r="O26" s="1285" t="s">
        <v>2217</v>
      </c>
      <c r="P26" s="1278">
        <v>2581.94</v>
      </c>
      <c r="Q26" s="1278">
        <v>1921.306</v>
      </c>
      <c r="R26" s="1278">
        <f>P26-Q26</f>
        <v>660.634</v>
      </c>
      <c r="S26" s="1278"/>
      <c r="T26" s="1278"/>
      <c r="U26" s="1278">
        <v>0</v>
      </c>
      <c r="V26" s="1278">
        <v>160</v>
      </c>
      <c r="W26" s="1278"/>
      <c r="X26" s="1310">
        <v>98</v>
      </c>
      <c r="Y26" s="1278">
        <v>1796.679</v>
      </c>
      <c r="Z26" s="1278">
        <f t="shared" si="8"/>
        <v>527.261</v>
      </c>
      <c r="AA26" s="1278">
        <f t="shared" si="9"/>
        <v>0</v>
      </c>
      <c r="AB26" s="1271" t="s">
        <v>2155</v>
      </c>
      <c r="AC26" s="1291">
        <v>60</v>
      </c>
      <c r="AD26" s="1282">
        <v>344</v>
      </c>
      <c r="AE26" s="1281"/>
      <c r="AF26" s="1282"/>
      <c r="AG26" s="1282"/>
      <c r="AH26" s="1282">
        <v>315</v>
      </c>
      <c r="AI26" s="1282"/>
      <c r="AJ26" s="1281"/>
      <c r="AK26" s="1281"/>
      <c r="AL26" s="1281"/>
      <c r="AM26" s="1281"/>
      <c r="AN26" s="1281"/>
      <c r="AO26" s="1281">
        <f>AH26*0.8</f>
        <v>252</v>
      </c>
      <c r="AP26" s="1292" t="s">
        <v>1157</v>
      </c>
      <c r="AQ26" s="1271">
        <v>0.9</v>
      </c>
      <c r="AR26" s="1271">
        <f t="shared" si="6"/>
        <v>0.45</v>
      </c>
      <c r="AS26" s="1272" t="s">
        <v>2176</v>
      </c>
      <c r="AT26" s="1285" t="s">
        <v>2164</v>
      </c>
    </row>
    <row r="27" spans="1:46" s="1263" customFormat="1" ht="34.5" customHeight="1">
      <c r="A27" s="1272">
        <v>18</v>
      </c>
      <c r="B27" s="1275" t="s">
        <v>2218</v>
      </c>
      <c r="C27" s="1286"/>
      <c r="D27" s="133" t="s">
        <v>2155</v>
      </c>
      <c r="E27" s="133" t="s">
        <v>1334</v>
      </c>
      <c r="F27" s="133" t="s">
        <v>2156</v>
      </c>
      <c r="G27" s="133" t="s">
        <v>2157</v>
      </c>
      <c r="H27" s="133" t="s">
        <v>2158</v>
      </c>
      <c r="I27" s="133">
        <v>5</v>
      </c>
      <c r="J27" s="1276" t="s">
        <v>2219</v>
      </c>
      <c r="K27" s="133" t="s">
        <v>2155</v>
      </c>
      <c r="L27" s="133">
        <v>130</v>
      </c>
      <c r="M27" s="1298" t="s">
        <v>2160</v>
      </c>
      <c r="N27" s="133">
        <v>2020</v>
      </c>
      <c r="O27" s="1285" t="s">
        <v>2220</v>
      </c>
      <c r="P27" s="1278">
        <v>3918.829</v>
      </c>
      <c r="Q27" s="1278">
        <v>3213.837</v>
      </c>
      <c r="R27" s="1278">
        <f t="shared" si="7"/>
        <v>704.9920000000002</v>
      </c>
      <c r="S27" s="1278"/>
      <c r="T27" s="1278"/>
      <c r="U27" s="1278">
        <v>0</v>
      </c>
      <c r="V27" s="1278">
        <v>0</v>
      </c>
      <c r="W27" s="1278">
        <v>55</v>
      </c>
      <c r="X27" s="1278">
        <v>338.8</v>
      </c>
      <c r="Y27" s="1278">
        <v>2741.006</v>
      </c>
      <c r="Z27" s="1278">
        <f t="shared" si="8"/>
        <v>784.0230000000004</v>
      </c>
      <c r="AA27" s="1278"/>
      <c r="AB27" s="1271" t="s">
        <v>2155</v>
      </c>
      <c r="AC27" s="1277">
        <v>130</v>
      </c>
      <c r="AD27" s="1280">
        <v>406</v>
      </c>
      <c r="AE27" s="1281"/>
      <c r="AF27" s="1282"/>
      <c r="AG27" s="1281"/>
      <c r="AH27" s="1282">
        <v>390</v>
      </c>
      <c r="AI27" s="1282"/>
      <c r="AJ27" s="1281"/>
      <c r="AK27" s="1281"/>
      <c r="AL27" s="1281"/>
      <c r="AM27" s="1281"/>
      <c r="AN27" s="1281"/>
      <c r="AO27" s="1281"/>
      <c r="AP27" s="1277" t="s">
        <v>1157</v>
      </c>
      <c r="AQ27" s="1289">
        <v>5</v>
      </c>
      <c r="AR27" s="1284">
        <f>50%*AQ27</f>
        <v>2.5</v>
      </c>
      <c r="AS27" s="1272" t="s">
        <v>2163</v>
      </c>
      <c r="AT27" s="1285" t="s">
        <v>2164</v>
      </c>
    </row>
    <row r="28" spans="1:46" s="1263" customFormat="1" ht="34.5" customHeight="1">
      <c r="A28" s="1272">
        <v>19</v>
      </c>
      <c r="B28" s="1275" t="s">
        <v>2221</v>
      </c>
      <c r="C28" s="1295"/>
      <c r="D28" s="133" t="s">
        <v>2155</v>
      </c>
      <c r="E28" s="133" t="s">
        <v>1334</v>
      </c>
      <c r="F28" s="133" t="s">
        <v>2156</v>
      </c>
      <c r="G28" s="133" t="s">
        <v>2157</v>
      </c>
      <c r="H28" s="133" t="s">
        <v>2158</v>
      </c>
      <c r="I28" s="133">
        <v>6</v>
      </c>
      <c r="J28" s="1276" t="s">
        <v>2222</v>
      </c>
      <c r="K28" s="133" t="s">
        <v>2155</v>
      </c>
      <c r="L28" s="133">
        <v>10</v>
      </c>
      <c r="M28" s="1295" t="s">
        <v>2160</v>
      </c>
      <c r="N28" s="133">
        <v>2020</v>
      </c>
      <c r="O28" s="1285" t="s">
        <v>2223</v>
      </c>
      <c r="P28" s="1278">
        <v>2667.608</v>
      </c>
      <c r="Q28" s="1278">
        <v>2058.319</v>
      </c>
      <c r="R28" s="1278">
        <f t="shared" si="7"/>
        <v>609.2890000000002</v>
      </c>
      <c r="S28" s="1278"/>
      <c r="T28" s="1278"/>
      <c r="U28" s="1278">
        <v>0</v>
      </c>
      <c r="V28" s="1278">
        <v>0</v>
      </c>
      <c r="W28" s="1278">
        <v>55</v>
      </c>
      <c r="X28" s="1278">
        <f>139+173</f>
        <v>312</v>
      </c>
      <c r="Y28" s="1278">
        <v>1764.132</v>
      </c>
      <c r="Z28" s="1278">
        <f t="shared" si="8"/>
        <v>536.4760000000001</v>
      </c>
      <c r="AA28" s="1278">
        <f t="shared" si="9"/>
        <v>0</v>
      </c>
      <c r="AB28" s="1271" t="s">
        <v>2155</v>
      </c>
      <c r="AC28" s="1291">
        <v>10</v>
      </c>
      <c r="AD28" s="1282">
        <v>338</v>
      </c>
      <c r="AE28" s="1281"/>
      <c r="AF28" s="1282"/>
      <c r="AG28" s="1282"/>
      <c r="AH28" s="1282">
        <v>320</v>
      </c>
      <c r="AI28" s="1282"/>
      <c r="AJ28" s="1281"/>
      <c r="AK28" s="1281"/>
      <c r="AL28" s="1281"/>
      <c r="AM28" s="1281"/>
      <c r="AN28" s="1281"/>
      <c r="AO28" s="1281">
        <f aca="true" t="shared" si="10" ref="AO28:AO35">AH28*0.8</f>
        <v>256</v>
      </c>
      <c r="AP28" s="1292" t="s">
        <v>1157</v>
      </c>
      <c r="AQ28" s="1271">
        <v>0.6</v>
      </c>
      <c r="AR28" s="1271">
        <f t="shared" si="6"/>
        <v>0.3</v>
      </c>
      <c r="AS28" s="1272" t="s">
        <v>2163</v>
      </c>
      <c r="AT28" s="1285" t="s">
        <v>2164</v>
      </c>
    </row>
    <row r="29" spans="1:46" s="1263" customFormat="1" ht="34.5" customHeight="1">
      <c r="A29" s="1272">
        <v>20</v>
      </c>
      <c r="B29" s="1311" t="s">
        <v>2224</v>
      </c>
      <c r="C29" s="133"/>
      <c r="D29" s="133" t="s">
        <v>2155</v>
      </c>
      <c r="E29" s="133" t="s">
        <v>1334</v>
      </c>
      <c r="F29" s="133" t="s">
        <v>2156</v>
      </c>
      <c r="G29" s="133" t="s">
        <v>2157</v>
      </c>
      <c r="H29" s="133" t="s">
        <v>2158</v>
      </c>
      <c r="I29" s="133">
        <v>6</v>
      </c>
      <c r="J29" s="1276" t="s">
        <v>2225</v>
      </c>
      <c r="K29" s="133" t="s">
        <v>2155</v>
      </c>
      <c r="L29" s="133">
        <v>70</v>
      </c>
      <c r="M29" s="1298" t="s">
        <v>2160</v>
      </c>
      <c r="N29" s="133">
        <v>2020</v>
      </c>
      <c r="O29" s="1285" t="s">
        <v>2226</v>
      </c>
      <c r="P29" s="1278">
        <f>2402.892</f>
        <v>2402.892</v>
      </c>
      <c r="Q29" s="1278">
        <v>1898.584</v>
      </c>
      <c r="R29" s="1278">
        <f t="shared" si="7"/>
        <v>504.30799999999977</v>
      </c>
      <c r="S29" s="1278"/>
      <c r="T29" s="1278"/>
      <c r="U29" s="1278">
        <v>0</v>
      </c>
      <c r="V29" s="1278">
        <v>0</v>
      </c>
      <c r="W29" s="1278">
        <v>110</v>
      </c>
      <c r="X29" s="1278">
        <v>243.621</v>
      </c>
      <c r="Y29" s="1278">
        <f>1849.408-74.1-0.035</f>
        <v>1775.273</v>
      </c>
      <c r="Z29" s="1278">
        <f t="shared" si="8"/>
        <v>273.99799999999993</v>
      </c>
      <c r="AA29" s="1278"/>
      <c r="AB29" s="1271" t="s">
        <v>2155</v>
      </c>
      <c r="AC29" s="1272">
        <v>75</v>
      </c>
      <c r="AD29" s="1308">
        <v>270</v>
      </c>
      <c r="AE29" s="1281"/>
      <c r="AF29" s="1282"/>
      <c r="AG29" s="1282"/>
      <c r="AH29" s="1282">
        <v>262</v>
      </c>
      <c r="AI29" s="1282"/>
      <c r="AJ29" s="1281"/>
      <c r="AK29" s="1281"/>
      <c r="AL29" s="1281"/>
      <c r="AM29" s="1281"/>
      <c r="AN29" s="1281"/>
      <c r="AO29" s="1281"/>
      <c r="AP29" s="1292" t="s">
        <v>1157</v>
      </c>
      <c r="AQ29" s="1272">
        <v>5</v>
      </c>
      <c r="AR29" s="1271">
        <f t="shared" si="6"/>
        <v>2.5</v>
      </c>
      <c r="AS29" s="1272" t="s">
        <v>2176</v>
      </c>
      <c r="AT29" s="1285" t="s">
        <v>2164</v>
      </c>
    </row>
    <row r="30" spans="1:46" s="1263" customFormat="1" ht="34.5" customHeight="1">
      <c r="A30" s="1272">
        <v>21</v>
      </c>
      <c r="B30" s="1275" t="s">
        <v>2227</v>
      </c>
      <c r="C30" s="1275"/>
      <c r="D30" s="133" t="s">
        <v>2155</v>
      </c>
      <c r="E30" s="133" t="s">
        <v>2274</v>
      </c>
      <c r="F30" s="133" t="s">
        <v>2156</v>
      </c>
      <c r="G30" s="133" t="s">
        <v>2157</v>
      </c>
      <c r="H30" s="133" t="s">
        <v>2158</v>
      </c>
      <c r="I30" s="133">
        <v>4</v>
      </c>
      <c r="J30" s="1276" t="s">
        <v>2228</v>
      </c>
      <c r="K30" s="133" t="s">
        <v>2155</v>
      </c>
      <c r="L30" s="133">
        <v>35</v>
      </c>
      <c r="M30" s="1295" t="s">
        <v>2160</v>
      </c>
      <c r="N30" s="133">
        <v>2020</v>
      </c>
      <c r="O30" s="1285" t="s">
        <v>2229</v>
      </c>
      <c r="P30" s="1278">
        <v>1902.149</v>
      </c>
      <c r="Q30" s="1278">
        <f>1392.858+5.3</f>
        <v>1398.158</v>
      </c>
      <c r="R30" s="1278">
        <f t="shared" si="7"/>
        <v>503.991</v>
      </c>
      <c r="S30" s="1278"/>
      <c r="T30" s="1278"/>
      <c r="U30" s="1278">
        <v>0</v>
      </c>
      <c r="V30" s="1278">
        <v>0</v>
      </c>
      <c r="W30" s="1278">
        <v>110</v>
      </c>
      <c r="X30" s="1278">
        <v>283.685</v>
      </c>
      <c r="Y30" s="1278">
        <f>983.676-147.8+0.014</f>
        <v>835.89</v>
      </c>
      <c r="Z30" s="1278">
        <f t="shared" si="8"/>
        <v>672.5740000000001</v>
      </c>
      <c r="AA30" s="1278"/>
      <c r="AB30" s="1271" t="s">
        <v>2155</v>
      </c>
      <c r="AC30" s="1291">
        <v>40</v>
      </c>
      <c r="AD30" s="1282">
        <v>138</v>
      </c>
      <c r="AE30" s="1281"/>
      <c r="AF30" s="1282"/>
      <c r="AG30" s="1281"/>
      <c r="AH30" s="1282">
        <v>141</v>
      </c>
      <c r="AI30" s="1282"/>
      <c r="AJ30" s="1281"/>
      <c r="AK30" s="1281"/>
      <c r="AL30" s="1281"/>
      <c r="AM30" s="1281"/>
      <c r="AN30" s="1281"/>
      <c r="AO30" s="1281">
        <f t="shared" si="10"/>
        <v>112.80000000000001</v>
      </c>
      <c r="AP30" s="1292" t="s">
        <v>1157</v>
      </c>
      <c r="AQ30" s="1271">
        <v>2.4</v>
      </c>
      <c r="AR30" s="1271">
        <f>50%*AQ30</f>
        <v>1.2</v>
      </c>
      <c r="AS30" s="1272" t="s">
        <v>2176</v>
      </c>
      <c r="AT30" s="1285" t="s">
        <v>2164</v>
      </c>
    </row>
    <row r="31" spans="1:46" s="1263" customFormat="1" ht="34.5" customHeight="1">
      <c r="A31" s="1272">
        <v>22</v>
      </c>
      <c r="B31" s="1275" t="s">
        <v>2230</v>
      </c>
      <c r="C31" s="1275"/>
      <c r="D31" s="133" t="s">
        <v>2155</v>
      </c>
      <c r="E31" s="133" t="s">
        <v>1334</v>
      </c>
      <c r="F31" s="133" t="s">
        <v>2156</v>
      </c>
      <c r="G31" s="133" t="s">
        <v>2157</v>
      </c>
      <c r="H31" s="133" t="s">
        <v>2158</v>
      </c>
      <c r="I31" s="133">
        <v>3</v>
      </c>
      <c r="J31" s="1276" t="s">
        <v>2231</v>
      </c>
      <c r="K31" s="133" t="s">
        <v>2155</v>
      </c>
      <c r="L31" s="133">
        <v>35</v>
      </c>
      <c r="M31" s="1295" t="s">
        <v>2160</v>
      </c>
      <c r="N31" s="133">
        <v>2020</v>
      </c>
      <c r="O31" s="1285" t="s">
        <v>2232</v>
      </c>
      <c r="P31" s="1278">
        <v>1478.437</v>
      </c>
      <c r="Q31" s="1278">
        <v>1177.964</v>
      </c>
      <c r="R31" s="1278">
        <f t="shared" si="7"/>
        <v>300.47299999999996</v>
      </c>
      <c r="S31" s="1278"/>
      <c r="T31" s="1278"/>
      <c r="U31" s="1278">
        <v>0</v>
      </c>
      <c r="V31" s="1278">
        <v>0</v>
      </c>
      <c r="W31" s="1278">
        <v>55</v>
      </c>
      <c r="X31" s="1278">
        <f>84+40.34</f>
        <v>124.34</v>
      </c>
      <c r="Y31" s="1278">
        <v>902.74</v>
      </c>
      <c r="Z31" s="1278">
        <f t="shared" si="8"/>
        <v>396.35699999999986</v>
      </c>
      <c r="AA31" s="1278"/>
      <c r="AB31" s="1271" t="s">
        <v>2155</v>
      </c>
      <c r="AC31" s="1291">
        <v>40</v>
      </c>
      <c r="AD31" s="1282">
        <f>73+35+22</f>
        <v>130</v>
      </c>
      <c r="AE31" s="1281"/>
      <c r="AF31" s="1282"/>
      <c r="AG31" s="1282"/>
      <c r="AH31" s="1282">
        <v>127</v>
      </c>
      <c r="AI31" s="1282"/>
      <c r="AJ31" s="1281"/>
      <c r="AK31" s="1281"/>
      <c r="AL31" s="1281"/>
      <c r="AM31" s="1281"/>
      <c r="AN31" s="1281"/>
      <c r="AO31" s="1281">
        <f t="shared" si="10"/>
        <v>101.60000000000001</v>
      </c>
      <c r="AP31" s="1292" t="s">
        <v>1157</v>
      </c>
      <c r="AQ31" s="1271">
        <v>6</v>
      </c>
      <c r="AR31" s="1271">
        <f t="shared" si="6"/>
        <v>3</v>
      </c>
      <c r="AS31" s="1272" t="s">
        <v>2176</v>
      </c>
      <c r="AT31" s="1285" t="s">
        <v>2164</v>
      </c>
    </row>
    <row r="32" spans="1:46" s="1263" customFormat="1" ht="34.5" customHeight="1">
      <c r="A32" s="1272">
        <v>23</v>
      </c>
      <c r="B32" s="1275" t="s">
        <v>2233</v>
      </c>
      <c r="C32" s="1295"/>
      <c r="D32" s="133" t="s">
        <v>2155</v>
      </c>
      <c r="E32" s="133" t="s">
        <v>1334</v>
      </c>
      <c r="F32" s="133" t="s">
        <v>2156</v>
      </c>
      <c r="G32" s="133" t="s">
        <v>2157</v>
      </c>
      <c r="H32" s="133" t="s">
        <v>2158</v>
      </c>
      <c r="I32" s="133">
        <v>3</v>
      </c>
      <c r="J32" s="1312" t="s">
        <v>2234</v>
      </c>
      <c r="K32" s="133" t="s">
        <v>2155</v>
      </c>
      <c r="L32" s="133">
        <v>60</v>
      </c>
      <c r="M32" s="1295" t="s">
        <v>2160</v>
      </c>
      <c r="N32" s="133">
        <v>2020</v>
      </c>
      <c r="O32" s="1285" t="s">
        <v>2235</v>
      </c>
      <c r="P32" s="1278">
        <v>1976.18</v>
      </c>
      <c r="Q32" s="1278">
        <v>1599.847</v>
      </c>
      <c r="R32" s="1278">
        <f t="shared" si="7"/>
        <v>376.3330000000001</v>
      </c>
      <c r="S32" s="1278"/>
      <c r="T32" s="1278"/>
      <c r="U32" s="1278">
        <v>0</v>
      </c>
      <c r="V32" s="1278">
        <v>0</v>
      </c>
      <c r="W32" s="1278">
        <v>60</v>
      </c>
      <c r="X32" s="1278">
        <f>98+56</f>
        <v>154</v>
      </c>
      <c r="Y32" s="1278">
        <v>1443</v>
      </c>
      <c r="Z32" s="1278">
        <f t="shared" si="8"/>
        <v>319.18000000000006</v>
      </c>
      <c r="AA32" s="1278">
        <f t="shared" si="9"/>
        <v>0</v>
      </c>
      <c r="AB32" s="1271" t="s">
        <v>2155</v>
      </c>
      <c r="AC32" s="1281">
        <v>60</v>
      </c>
      <c r="AD32" s="1282">
        <v>247</v>
      </c>
      <c r="AE32" s="1281"/>
      <c r="AF32" s="1282"/>
      <c r="AG32" s="1282"/>
      <c r="AH32" s="1282">
        <v>239</v>
      </c>
      <c r="AI32" s="1282"/>
      <c r="AJ32" s="1281"/>
      <c r="AK32" s="1281"/>
      <c r="AL32" s="1281"/>
      <c r="AM32" s="1281"/>
      <c r="AN32" s="1281"/>
      <c r="AO32" s="1281">
        <f t="shared" si="10"/>
        <v>191.20000000000002</v>
      </c>
      <c r="AP32" s="1292" t="s">
        <v>1157</v>
      </c>
      <c r="AQ32" s="1293">
        <v>2.16</v>
      </c>
      <c r="AR32" s="1271">
        <f t="shared" si="6"/>
        <v>1.08</v>
      </c>
      <c r="AS32" s="1272" t="s">
        <v>2163</v>
      </c>
      <c r="AT32" s="1285" t="s">
        <v>2164</v>
      </c>
    </row>
    <row r="33" spans="1:46" s="1263" customFormat="1" ht="34.5" customHeight="1">
      <c r="A33" s="1272">
        <v>24</v>
      </c>
      <c r="B33" s="1275" t="s">
        <v>2236</v>
      </c>
      <c r="C33" s="1286"/>
      <c r="D33" s="133" t="s">
        <v>2155</v>
      </c>
      <c r="E33" s="133" t="s">
        <v>1334</v>
      </c>
      <c r="F33" s="133" t="s">
        <v>2156</v>
      </c>
      <c r="G33" s="133" t="s">
        <v>2157</v>
      </c>
      <c r="H33" s="133" t="s">
        <v>2158</v>
      </c>
      <c r="I33" s="133">
        <v>2</v>
      </c>
      <c r="J33" s="1276" t="s">
        <v>2237</v>
      </c>
      <c r="K33" s="133" t="s">
        <v>2155</v>
      </c>
      <c r="L33" s="133">
        <v>120</v>
      </c>
      <c r="M33" s="1286" t="s">
        <v>2160</v>
      </c>
      <c r="N33" s="133">
        <v>2020</v>
      </c>
      <c r="O33" s="1285" t="s">
        <v>2238</v>
      </c>
      <c r="P33" s="1278">
        <v>6054.58</v>
      </c>
      <c r="Q33" s="1278">
        <v>4989.153</v>
      </c>
      <c r="R33" s="1278">
        <f t="shared" si="7"/>
        <v>1065.4269999999997</v>
      </c>
      <c r="S33" s="1278"/>
      <c r="T33" s="1278"/>
      <c r="U33" s="1278">
        <v>0</v>
      </c>
      <c r="V33" s="1278">
        <v>0</v>
      </c>
      <c r="W33" s="1278">
        <v>519.75</v>
      </c>
      <c r="X33" s="1278">
        <v>145</v>
      </c>
      <c r="Y33" s="1278">
        <v>3241.787</v>
      </c>
      <c r="Z33" s="1278">
        <f t="shared" si="8"/>
        <v>2148.043</v>
      </c>
      <c r="AA33" s="1278">
        <f t="shared" si="9"/>
        <v>0</v>
      </c>
      <c r="AB33" s="1271" t="s">
        <v>2155</v>
      </c>
      <c r="AC33" s="1313">
        <v>130</v>
      </c>
      <c r="AD33" s="1288">
        <v>429</v>
      </c>
      <c r="AE33" s="1281"/>
      <c r="AF33" s="1282"/>
      <c r="AG33" s="1282"/>
      <c r="AH33" s="1282">
        <v>419</v>
      </c>
      <c r="AI33" s="1281"/>
      <c r="AJ33" s="1281"/>
      <c r="AK33" s="1281"/>
      <c r="AL33" s="1281"/>
      <c r="AM33" s="1281"/>
      <c r="AN33" s="1281"/>
      <c r="AO33" s="1281"/>
      <c r="AP33" s="1292" t="s">
        <v>1157</v>
      </c>
      <c r="AQ33" s="1272">
        <v>1.6</v>
      </c>
      <c r="AR33" s="1284">
        <f>50%*AQ33</f>
        <v>0.8</v>
      </c>
      <c r="AS33" s="1272" t="s">
        <v>2163</v>
      </c>
      <c r="AT33" s="1285" t="s">
        <v>2164</v>
      </c>
    </row>
    <row r="34" spans="1:46" s="1263" customFormat="1" ht="34.5" customHeight="1">
      <c r="A34" s="1272">
        <v>25</v>
      </c>
      <c r="B34" s="1275" t="s">
        <v>2239</v>
      </c>
      <c r="C34" s="1275"/>
      <c r="D34" s="133" t="s">
        <v>2155</v>
      </c>
      <c r="E34" s="133" t="s">
        <v>1334</v>
      </c>
      <c r="F34" s="133" t="s">
        <v>2156</v>
      </c>
      <c r="G34" s="133" t="s">
        <v>2157</v>
      </c>
      <c r="H34" s="133" t="s">
        <v>2158</v>
      </c>
      <c r="I34" s="133">
        <v>8</v>
      </c>
      <c r="J34" s="1276" t="s">
        <v>2240</v>
      </c>
      <c r="K34" s="133" t="s">
        <v>2155</v>
      </c>
      <c r="L34" s="133">
        <v>133.8</v>
      </c>
      <c r="M34" s="1295" t="s">
        <v>2160</v>
      </c>
      <c r="N34" s="133">
        <v>2020</v>
      </c>
      <c r="O34" s="1285" t="s">
        <v>2241</v>
      </c>
      <c r="P34" s="1278">
        <v>5991.043</v>
      </c>
      <c r="Q34" s="1278">
        <v>4940.861</v>
      </c>
      <c r="R34" s="1278">
        <f t="shared" si="7"/>
        <v>1050.1819999999998</v>
      </c>
      <c r="S34" s="1278"/>
      <c r="T34" s="1278"/>
      <c r="U34" s="1278">
        <v>0</v>
      </c>
      <c r="V34" s="1278">
        <v>0</v>
      </c>
      <c r="W34" s="1278">
        <v>180</v>
      </c>
      <c r="X34" s="1278">
        <f>477+32.29</f>
        <v>509.29</v>
      </c>
      <c r="Y34" s="1278">
        <f>4573-58.5-0.039</f>
        <v>4514.461</v>
      </c>
      <c r="Z34" s="1278">
        <f t="shared" si="8"/>
        <v>787.2919999999995</v>
      </c>
      <c r="AA34" s="1278"/>
      <c r="AB34" s="1271" t="s">
        <v>2155</v>
      </c>
      <c r="AC34" s="1291">
        <v>140</v>
      </c>
      <c r="AD34" s="1282">
        <v>461</v>
      </c>
      <c r="AE34" s="1281"/>
      <c r="AF34" s="1282"/>
      <c r="AG34" s="1281"/>
      <c r="AH34" s="1282">
        <v>462</v>
      </c>
      <c r="AI34" s="1282"/>
      <c r="AJ34" s="1281"/>
      <c r="AK34" s="1281"/>
      <c r="AL34" s="1281"/>
      <c r="AM34" s="1281"/>
      <c r="AN34" s="1281"/>
      <c r="AO34" s="1281">
        <f t="shared" si="10"/>
        <v>369.6</v>
      </c>
      <c r="AP34" s="1292" t="s">
        <v>1157</v>
      </c>
      <c r="AQ34" s="1271">
        <v>6.29</v>
      </c>
      <c r="AR34" s="1271">
        <f>50%*AQ34</f>
        <v>3.145</v>
      </c>
      <c r="AS34" s="1272" t="s">
        <v>2176</v>
      </c>
      <c r="AT34" s="1285" t="s">
        <v>2164</v>
      </c>
    </row>
    <row r="35" spans="1:46" s="1263" customFormat="1" ht="34.5" customHeight="1">
      <c r="A35" s="1272">
        <v>26</v>
      </c>
      <c r="B35" s="1275" t="s">
        <v>2242</v>
      </c>
      <c r="C35" s="1275"/>
      <c r="D35" s="133" t="s">
        <v>2155</v>
      </c>
      <c r="E35" s="133" t="s">
        <v>1334</v>
      </c>
      <c r="F35" s="133" t="s">
        <v>2156</v>
      </c>
      <c r="G35" s="133" t="s">
        <v>2157</v>
      </c>
      <c r="H35" s="133" t="s">
        <v>2158</v>
      </c>
      <c r="I35" s="133">
        <v>3</v>
      </c>
      <c r="J35" s="1312" t="s">
        <v>2243</v>
      </c>
      <c r="K35" s="133" t="s">
        <v>2155</v>
      </c>
      <c r="L35" s="133">
        <v>72</v>
      </c>
      <c r="M35" s="1295" t="s">
        <v>2160</v>
      </c>
      <c r="N35" s="133">
        <v>2020</v>
      </c>
      <c r="O35" s="1285" t="s">
        <v>2244</v>
      </c>
      <c r="P35" s="1278">
        <v>2189.041</v>
      </c>
      <c r="Q35" s="1278">
        <v>1715.609</v>
      </c>
      <c r="R35" s="1278">
        <f t="shared" si="7"/>
        <v>473.43200000000024</v>
      </c>
      <c r="S35" s="1278"/>
      <c r="T35" s="1278"/>
      <c r="U35" s="1278">
        <v>0</v>
      </c>
      <c r="V35" s="1278">
        <v>0</v>
      </c>
      <c r="W35" s="1278"/>
      <c r="X35" s="1278">
        <f>140+100.473</f>
        <v>240.473</v>
      </c>
      <c r="Y35" s="1278">
        <v>1526.6</v>
      </c>
      <c r="Z35" s="1278">
        <f t="shared" si="8"/>
        <v>421.96800000000025</v>
      </c>
      <c r="AA35" s="1278"/>
      <c r="AB35" s="1271" t="s">
        <v>2155</v>
      </c>
      <c r="AC35" s="1291">
        <v>80</v>
      </c>
      <c r="AD35" s="1282">
        <v>170</v>
      </c>
      <c r="AE35" s="1281"/>
      <c r="AF35" s="1282"/>
      <c r="AG35" s="1281"/>
      <c r="AH35" s="1282">
        <v>166</v>
      </c>
      <c r="AI35" s="1282"/>
      <c r="AJ35" s="1281"/>
      <c r="AK35" s="1281"/>
      <c r="AL35" s="1281"/>
      <c r="AM35" s="1281"/>
      <c r="AN35" s="1281"/>
      <c r="AO35" s="1281">
        <f t="shared" si="10"/>
        <v>132.8</v>
      </c>
      <c r="AP35" s="1292" t="s">
        <v>1157</v>
      </c>
      <c r="AQ35" s="1271">
        <v>4.8</v>
      </c>
      <c r="AR35" s="1271">
        <f>50%*AQ35</f>
        <v>2.4</v>
      </c>
      <c r="AS35" s="1272" t="s">
        <v>2176</v>
      </c>
      <c r="AT35" s="1285" t="s">
        <v>2164</v>
      </c>
    </row>
    <row r="36" spans="1:46" s="1263" customFormat="1" ht="34.5" customHeight="1">
      <c r="A36" s="1272">
        <v>27</v>
      </c>
      <c r="B36" s="1275" t="s">
        <v>2245</v>
      </c>
      <c r="C36" s="1286"/>
      <c r="D36" s="133" t="s">
        <v>2155</v>
      </c>
      <c r="E36" s="133" t="s">
        <v>1334</v>
      </c>
      <c r="F36" s="133" t="s">
        <v>2156</v>
      </c>
      <c r="G36" s="133" t="s">
        <v>2157</v>
      </c>
      <c r="H36" s="133" t="s">
        <v>2158</v>
      </c>
      <c r="I36" s="133">
        <v>10</v>
      </c>
      <c r="J36" s="1276" t="s">
        <v>2246</v>
      </c>
      <c r="K36" s="133" t="s">
        <v>2155</v>
      </c>
      <c r="L36" s="133">
        <v>95</v>
      </c>
      <c r="M36" s="1286" t="s">
        <v>2200</v>
      </c>
      <c r="N36" s="133">
        <v>2020</v>
      </c>
      <c r="O36" s="1285" t="s">
        <v>2247</v>
      </c>
      <c r="P36" s="1278">
        <v>4797.647</v>
      </c>
      <c r="Q36" s="1278">
        <v>3885.543</v>
      </c>
      <c r="R36" s="1278">
        <f t="shared" si="7"/>
        <v>912.1039999999998</v>
      </c>
      <c r="S36" s="1278"/>
      <c r="T36" s="1278"/>
      <c r="U36" s="1278">
        <v>0</v>
      </c>
      <c r="V36" s="1278">
        <v>0</v>
      </c>
      <c r="W36" s="1278">
        <v>0</v>
      </c>
      <c r="X36" s="1278">
        <f>409+77.132</f>
        <v>486.132</v>
      </c>
      <c r="Y36" s="1278">
        <v>3423.633</v>
      </c>
      <c r="Z36" s="1278">
        <f>P36-Y36-X36-W36-V36</f>
        <v>887.8820000000001</v>
      </c>
      <c r="AA36" s="1278"/>
      <c r="AB36" s="1271" t="s">
        <v>2155</v>
      </c>
      <c r="AC36" s="1272">
        <v>100</v>
      </c>
      <c r="AD36" s="1308">
        <v>336</v>
      </c>
      <c r="AE36" s="1281"/>
      <c r="AF36" s="1282"/>
      <c r="AG36" s="1281"/>
      <c r="AH36" s="1282">
        <v>322</v>
      </c>
      <c r="AI36" s="1282"/>
      <c r="AJ36" s="1281"/>
      <c r="AK36" s="1281"/>
      <c r="AL36" s="1281"/>
      <c r="AM36" s="1281"/>
      <c r="AN36" s="1281"/>
      <c r="AO36" s="1281">
        <f>AH36*0.8</f>
        <v>257.6</v>
      </c>
      <c r="AP36" s="1292" t="s">
        <v>1157</v>
      </c>
      <c r="AQ36" s="1272">
        <v>6</v>
      </c>
      <c r="AR36" s="1284">
        <f>50%*AQ36</f>
        <v>3</v>
      </c>
      <c r="AS36" s="1272" t="s">
        <v>2163</v>
      </c>
      <c r="AT36" s="1285" t="s">
        <v>2164</v>
      </c>
    </row>
    <row r="37" spans="1:46" s="1263" customFormat="1" ht="34.5" customHeight="1">
      <c r="A37" s="1272">
        <v>28</v>
      </c>
      <c r="B37" s="1275" t="s">
        <v>2248</v>
      </c>
      <c r="C37" s="1275"/>
      <c r="D37" s="133" t="s">
        <v>2155</v>
      </c>
      <c r="E37" s="133" t="s">
        <v>1334</v>
      </c>
      <c r="F37" s="133"/>
      <c r="G37" s="133" t="s">
        <v>2157</v>
      </c>
      <c r="H37" s="133" t="s">
        <v>2158</v>
      </c>
      <c r="I37" s="133">
        <v>4</v>
      </c>
      <c r="J37" s="133" t="s">
        <v>2249</v>
      </c>
      <c r="K37" s="133" t="s">
        <v>2155</v>
      </c>
      <c r="L37" s="133">
        <v>87.06</v>
      </c>
      <c r="M37" s="133" t="s">
        <v>2250</v>
      </c>
      <c r="N37" s="133">
        <v>2021</v>
      </c>
      <c r="O37" s="133" t="s">
        <v>2251</v>
      </c>
      <c r="P37" s="1278">
        <v>5576.213011</v>
      </c>
      <c r="Q37" s="1278">
        <f>P37-R37-S37</f>
        <v>5198.820011</v>
      </c>
      <c r="R37" s="1278">
        <v>111.86</v>
      </c>
      <c r="S37" s="1278">
        <v>265.533</v>
      </c>
      <c r="T37" s="1278"/>
      <c r="U37" s="1314"/>
      <c r="V37" s="1314"/>
      <c r="W37" s="1278">
        <v>55</v>
      </c>
      <c r="X37" s="1314"/>
      <c r="Y37" s="1314">
        <v>474</v>
      </c>
      <c r="Z37" s="1278">
        <v>4329</v>
      </c>
      <c r="AA37" s="1278">
        <f>P37-Z37-Y37-X37-W37-V37</f>
        <v>718.2130109999998</v>
      </c>
      <c r="AB37" s="1315" t="s">
        <v>2252</v>
      </c>
      <c r="AC37" s="1278">
        <v>87.06</v>
      </c>
      <c r="AD37" s="1316">
        <v>222</v>
      </c>
      <c r="AE37" s="1315"/>
      <c r="AF37" s="1315"/>
      <c r="AG37" s="1315"/>
      <c r="AH37" s="1315"/>
      <c r="AI37" s="1316">
        <v>227</v>
      </c>
      <c r="AJ37" s="1281"/>
      <c r="AK37" s="1317"/>
      <c r="AL37" s="1317"/>
      <c r="AM37" s="1317"/>
      <c r="AN37" s="1317"/>
      <c r="AO37" s="1317"/>
      <c r="AP37" s="1292" t="s">
        <v>1157</v>
      </c>
      <c r="AQ37" s="1318">
        <v>2.3</v>
      </c>
      <c r="AR37" s="1318">
        <v>1.5</v>
      </c>
      <c r="AS37" s="133" t="s">
        <v>2253</v>
      </c>
      <c r="AT37" s="1285" t="s">
        <v>2164</v>
      </c>
    </row>
    <row r="38" spans="1:46" s="1337" customFormat="1" ht="34.5" customHeight="1">
      <c r="A38" s="1325">
        <v>29</v>
      </c>
      <c r="B38" s="1326" t="s">
        <v>2254</v>
      </c>
      <c r="C38" s="1327"/>
      <c r="D38" s="1328" t="s">
        <v>2155</v>
      </c>
      <c r="E38" s="1328" t="s">
        <v>1334</v>
      </c>
      <c r="F38" s="1328" t="s">
        <v>2156</v>
      </c>
      <c r="G38" s="1328" t="s">
        <v>2157</v>
      </c>
      <c r="H38" s="1328" t="s">
        <v>2158</v>
      </c>
      <c r="I38" s="1328">
        <v>8</v>
      </c>
      <c r="J38" s="1329" t="s">
        <v>2255</v>
      </c>
      <c r="K38" s="1328" t="s">
        <v>2155</v>
      </c>
      <c r="L38" s="1328">
        <v>85</v>
      </c>
      <c r="M38" s="1327" t="s">
        <v>2160</v>
      </c>
      <c r="N38" s="1328">
        <v>2021</v>
      </c>
      <c r="O38" s="1330" t="s">
        <v>2256</v>
      </c>
      <c r="P38" s="1331">
        <v>8418.64538059265</v>
      </c>
      <c r="Q38" s="1331">
        <v>7853.114680026308</v>
      </c>
      <c r="R38" s="1331">
        <v>164.642825566342</v>
      </c>
      <c r="S38" s="1331">
        <v>400.88787500000007</v>
      </c>
      <c r="T38" s="1331"/>
      <c r="U38" s="1331">
        <v>0</v>
      </c>
      <c r="V38" s="1331">
        <v>0</v>
      </c>
      <c r="W38" s="1331">
        <v>0</v>
      </c>
      <c r="X38" s="1331">
        <v>0</v>
      </c>
      <c r="Y38" s="1331">
        <v>559</v>
      </c>
      <c r="Z38" s="1331">
        <v>6534</v>
      </c>
      <c r="AA38" s="1331">
        <f t="shared" si="9"/>
        <v>1325.6453805926503</v>
      </c>
      <c r="AB38" s="1332" t="s">
        <v>2155</v>
      </c>
      <c r="AC38" s="1333">
        <v>184</v>
      </c>
      <c r="AD38" s="1334">
        <v>422</v>
      </c>
      <c r="AE38" s="1333"/>
      <c r="AF38" s="1334"/>
      <c r="AG38" s="1334"/>
      <c r="AH38" s="1334"/>
      <c r="AI38" s="1334">
        <v>404</v>
      </c>
      <c r="AJ38" s="1333"/>
      <c r="AK38" s="1333"/>
      <c r="AL38" s="1333"/>
      <c r="AM38" s="1333"/>
      <c r="AN38" s="1333"/>
      <c r="AO38" s="1333"/>
      <c r="AP38" s="1335" t="s">
        <v>1157</v>
      </c>
      <c r="AQ38" s="1336">
        <f>+AI38*10*2000/1000000</f>
        <v>8.08</v>
      </c>
      <c r="AR38" s="1332">
        <f>AQ38*0.6</f>
        <v>4.848</v>
      </c>
      <c r="AS38" s="1325" t="s">
        <v>2163</v>
      </c>
      <c r="AT38" s="1330" t="s">
        <v>2164</v>
      </c>
    </row>
    <row r="39" spans="1:46" s="1337" customFormat="1" ht="34.5" customHeight="1">
      <c r="A39" s="1325">
        <v>30</v>
      </c>
      <c r="B39" s="1326" t="s">
        <v>2257</v>
      </c>
      <c r="C39" s="1327"/>
      <c r="D39" s="1328" t="s">
        <v>2155</v>
      </c>
      <c r="E39" s="1328" t="s">
        <v>1334</v>
      </c>
      <c r="F39" s="1328" t="s">
        <v>2156</v>
      </c>
      <c r="G39" s="1328" t="s">
        <v>2157</v>
      </c>
      <c r="H39" s="1328" t="s">
        <v>2158</v>
      </c>
      <c r="I39" s="1328">
        <v>5</v>
      </c>
      <c r="J39" s="1329" t="s">
        <v>2258</v>
      </c>
      <c r="K39" s="1328" t="s">
        <v>2155</v>
      </c>
      <c r="L39" s="1328">
        <v>55</v>
      </c>
      <c r="M39" s="1327" t="s">
        <v>2160</v>
      </c>
      <c r="N39" s="1328">
        <v>2021</v>
      </c>
      <c r="O39" s="1330" t="s">
        <v>2259</v>
      </c>
      <c r="P39" s="1331">
        <v>3206.8109160000004</v>
      </c>
      <c r="Q39" s="1331">
        <v>2969.2356000000004</v>
      </c>
      <c r="R39" s="1331">
        <v>84.870034</v>
      </c>
      <c r="S39" s="1331">
        <v>152.705282</v>
      </c>
      <c r="T39" s="1331"/>
      <c r="U39" s="1331">
        <v>0</v>
      </c>
      <c r="V39" s="1331">
        <v>0</v>
      </c>
      <c r="W39" s="1331">
        <v>0</v>
      </c>
      <c r="X39" s="1331">
        <v>0</v>
      </c>
      <c r="Y39" s="1331">
        <v>358</v>
      </c>
      <c r="Z39" s="1331">
        <v>2484</v>
      </c>
      <c r="AA39" s="1331">
        <f t="shared" si="9"/>
        <v>364.81091600000036</v>
      </c>
      <c r="AB39" s="1332" t="s">
        <v>2155</v>
      </c>
      <c r="AC39" s="1333">
        <v>54.7</v>
      </c>
      <c r="AD39" s="1334">
        <v>145</v>
      </c>
      <c r="AE39" s="1333"/>
      <c r="AF39" s="1334"/>
      <c r="AG39" s="1334"/>
      <c r="AH39" s="1334"/>
      <c r="AI39" s="1334">
        <v>141</v>
      </c>
      <c r="AJ39" s="1333"/>
      <c r="AK39" s="1333"/>
      <c r="AL39" s="1333"/>
      <c r="AM39" s="1333"/>
      <c r="AN39" s="1333"/>
      <c r="AO39" s="1333"/>
      <c r="AP39" s="1335" t="s">
        <v>1157</v>
      </c>
      <c r="AQ39" s="1336">
        <f>+AI39*10*2000/1000000</f>
        <v>2.82</v>
      </c>
      <c r="AR39" s="1332">
        <f>AQ39*0.6</f>
        <v>1.692</v>
      </c>
      <c r="AS39" s="1325" t="s">
        <v>2163</v>
      </c>
      <c r="AT39" s="1330" t="s">
        <v>2164</v>
      </c>
    </row>
    <row r="40" spans="1:46" s="1263" customFormat="1" ht="34.5" customHeight="1">
      <c r="A40" s="1272">
        <v>31</v>
      </c>
      <c r="B40" s="1275" t="s">
        <v>2260</v>
      </c>
      <c r="C40" s="1295"/>
      <c r="D40" s="133" t="s">
        <v>2155</v>
      </c>
      <c r="E40" s="133" t="s">
        <v>1334</v>
      </c>
      <c r="F40" s="133" t="s">
        <v>2156</v>
      </c>
      <c r="G40" s="133" t="s">
        <v>2157</v>
      </c>
      <c r="H40" s="133" t="s">
        <v>2158</v>
      </c>
      <c r="I40" s="133">
        <v>7</v>
      </c>
      <c r="J40" s="1312" t="s">
        <v>2261</v>
      </c>
      <c r="K40" s="133" t="s">
        <v>2155</v>
      </c>
      <c r="L40" s="133">
        <v>130</v>
      </c>
      <c r="M40" s="1295" t="s">
        <v>2160</v>
      </c>
      <c r="N40" s="562">
        <v>2021</v>
      </c>
      <c r="O40" s="1285" t="s">
        <v>2262</v>
      </c>
      <c r="P40" s="1278">
        <v>5051.06</v>
      </c>
      <c r="Q40" s="1278">
        <v>3737.742</v>
      </c>
      <c r="R40" s="1278">
        <v>882.2120000000001</v>
      </c>
      <c r="S40" s="1278">
        <v>431.10600000000005</v>
      </c>
      <c r="T40" s="1278"/>
      <c r="U40" s="1278"/>
      <c r="V40" s="1278"/>
      <c r="W40" s="1278"/>
      <c r="X40" s="1278"/>
      <c r="Y40" s="1278">
        <v>495</v>
      </c>
      <c r="Z40" s="1278">
        <v>3933.6</v>
      </c>
      <c r="AA40" s="1278">
        <f t="shared" si="9"/>
        <v>622.4600000000005</v>
      </c>
      <c r="AB40" s="1271" t="s">
        <v>2155</v>
      </c>
      <c r="AC40" s="1281">
        <v>145</v>
      </c>
      <c r="AD40" s="1282">
        <v>421</v>
      </c>
      <c r="AE40" s="1281"/>
      <c r="AF40" s="1282"/>
      <c r="AG40" s="1282"/>
      <c r="AH40" s="1282"/>
      <c r="AI40" s="1282">
        <v>422</v>
      </c>
      <c r="AJ40" s="1281"/>
      <c r="AK40" s="1281"/>
      <c r="AL40" s="1281"/>
      <c r="AM40" s="1281"/>
      <c r="AN40" s="1281"/>
      <c r="AO40" s="1281"/>
      <c r="AP40" s="1292" t="s">
        <v>1157</v>
      </c>
      <c r="AQ40" s="1293">
        <v>4</v>
      </c>
      <c r="AR40" s="1271">
        <f>60%*AQ40</f>
        <v>2.4</v>
      </c>
      <c r="AS40" s="1272" t="s">
        <v>2163</v>
      </c>
      <c r="AT40" s="1285" t="s">
        <v>2164</v>
      </c>
    </row>
    <row r="41" spans="1:46" s="1263" customFormat="1" ht="34.5" customHeight="1">
      <c r="A41" s="1272">
        <v>32</v>
      </c>
      <c r="B41" s="1275" t="s">
        <v>2263</v>
      </c>
      <c r="C41" s="1286"/>
      <c r="D41" s="562" t="s">
        <v>2155</v>
      </c>
      <c r="E41" s="562" t="s">
        <v>1334</v>
      </c>
      <c r="F41" s="562" t="s">
        <v>2156</v>
      </c>
      <c r="G41" s="562" t="s">
        <v>2157</v>
      </c>
      <c r="H41" s="562" t="s">
        <v>2158</v>
      </c>
      <c r="I41" s="133">
        <v>8</v>
      </c>
      <c r="J41" s="1276" t="s">
        <v>2264</v>
      </c>
      <c r="K41" s="562" t="s">
        <v>2155</v>
      </c>
      <c r="L41" s="133"/>
      <c r="M41" s="1319" t="s">
        <v>2160</v>
      </c>
      <c r="N41" s="133">
        <v>2021</v>
      </c>
      <c r="O41" s="1285" t="s">
        <v>2265</v>
      </c>
      <c r="P41" s="1278">
        <v>6445</v>
      </c>
      <c r="Q41" s="1278">
        <f>P41*0.7</f>
        <v>4511.5</v>
      </c>
      <c r="R41" s="1278">
        <f>P41*0.2</f>
        <v>1289</v>
      </c>
      <c r="S41" s="1278">
        <f>P41*0.1</f>
        <v>644.5</v>
      </c>
      <c r="T41" s="1278"/>
      <c r="U41" s="1278"/>
      <c r="V41" s="1278"/>
      <c r="W41" s="1278"/>
      <c r="X41" s="1278"/>
      <c r="Y41" s="1278">
        <v>546.426</v>
      </c>
      <c r="Z41" s="1278">
        <v>4986</v>
      </c>
      <c r="AA41" s="1278">
        <f t="shared" si="9"/>
        <v>912.574</v>
      </c>
      <c r="AB41" s="1271" t="s">
        <v>2155</v>
      </c>
      <c r="AC41" s="1272">
        <v>174</v>
      </c>
      <c r="AD41" s="1308">
        <v>466</v>
      </c>
      <c r="AE41" s="1281"/>
      <c r="AF41" s="1282"/>
      <c r="AG41" s="1281"/>
      <c r="AH41" s="1282"/>
      <c r="AI41" s="1282">
        <v>495</v>
      </c>
      <c r="AJ41" s="1281"/>
      <c r="AK41" s="1281"/>
      <c r="AL41" s="1281"/>
      <c r="AM41" s="1281"/>
      <c r="AN41" s="1281"/>
      <c r="AO41" s="1281"/>
      <c r="AP41" s="1292" t="s">
        <v>1157</v>
      </c>
      <c r="AQ41" s="1272">
        <v>5</v>
      </c>
      <c r="AR41" s="1271">
        <f>60%*AQ41</f>
        <v>3</v>
      </c>
      <c r="AS41" s="1272" t="s">
        <v>2163</v>
      </c>
      <c r="AT41" s="1285" t="s">
        <v>2164</v>
      </c>
    </row>
    <row r="42" spans="1:46" s="1263" customFormat="1" ht="21" customHeight="1">
      <c r="A42" s="1264" t="s">
        <v>484</v>
      </c>
      <c r="B42" s="1265" t="s">
        <v>2266</v>
      </c>
      <c r="C42" s="1286"/>
      <c r="D42" s="1286"/>
      <c r="E42" s="1272"/>
      <c r="F42" s="1272"/>
      <c r="G42" s="1272"/>
      <c r="H42" s="1272"/>
      <c r="I42" s="1272"/>
      <c r="J42" s="1320"/>
      <c r="K42" s="1286"/>
      <c r="L42" s="1286"/>
      <c r="M42" s="1286"/>
      <c r="N42" s="1272"/>
      <c r="O42" s="1272"/>
      <c r="P42" s="1315"/>
      <c r="Q42" s="1315"/>
      <c r="R42" s="1315">
        <f>P42*0.15</f>
        <v>0</v>
      </c>
      <c r="S42" s="1315">
        <f>P42*0.1</f>
        <v>0</v>
      </c>
      <c r="T42" s="1315"/>
      <c r="U42" s="1315"/>
      <c r="V42" s="1315"/>
      <c r="W42" s="1315"/>
      <c r="X42" s="1315"/>
      <c r="Y42" s="1315"/>
      <c r="Z42" s="1315"/>
      <c r="AA42" s="1315"/>
      <c r="AB42" s="1271"/>
      <c r="AC42" s="1296"/>
      <c r="AD42" s="1321">
        <v>1007</v>
      </c>
      <c r="AE42" s="1322"/>
      <c r="AF42" s="1321">
        <f>+AF43</f>
        <v>719</v>
      </c>
      <c r="AG42" s="1322">
        <v>134</v>
      </c>
      <c r="AH42" s="1281"/>
      <c r="AI42" s="1281"/>
      <c r="AJ42" s="1281"/>
      <c r="AK42" s="1322"/>
      <c r="AL42" s="1322"/>
      <c r="AM42" s="1322"/>
      <c r="AN42" s="1322">
        <f>AN43+AN44</f>
        <v>151</v>
      </c>
      <c r="AO42" s="1322"/>
      <c r="AP42" s="1271"/>
      <c r="AQ42" s="1271"/>
      <c r="AR42" s="1271"/>
      <c r="AS42" s="1272"/>
      <c r="AT42" s="1272"/>
    </row>
    <row r="43" spans="1:46" s="1263" customFormat="1" ht="56.25" customHeight="1">
      <c r="A43" s="1272">
        <v>1</v>
      </c>
      <c r="B43" s="1275" t="s">
        <v>2267</v>
      </c>
      <c r="C43" s="1286"/>
      <c r="D43" s="133" t="s">
        <v>2155</v>
      </c>
      <c r="E43" s="133" t="s">
        <v>1334</v>
      </c>
      <c r="F43" s="133" t="s">
        <v>2156</v>
      </c>
      <c r="G43" s="133" t="s">
        <v>2157</v>
      </c>
      <c r="H43" s="133" t="s">
        <v>2158</v>
      </c>
      <c r="I43" s="133">
        <v>21</v>
      </c>
      <c r="J43" s="1276" t="s">
        <v>2268</v>
      </c>
      <c r="K43" s="133" t="s">
        <v>2155</v>
      </c>
      <c r="L43" s="133">
        <f>+AD43*0.23</f>
        <v>231.61</v>
      </c>
      <c r="M43" s="1298" t="s">
        <v>2160</v>
      </c>
      <c r="N43" s="133" t="s">
        <v>2269</v>
      </c>
      <c r="O43" s="1323" t="s">
        <v>2270</v>
      </c>
      <c r="P43" s="1315"/>
      <c r="Q43" s="1315"/>
      <c r="R43" s="1315"/>
      <c r="S43" s="1315"/>
      <c r="T43" s="1315"/>
      <c r="U43" s="1315"/>
      <c r="V43" s="1315"/>
      <c r="W43" s="1315"/>
      <c r="X43" s="1315"/>
      <c r="Y43" s="1315"/>
      <c r="Z43" s="1315"/>
      <c r="AA43" s="1315"/>
      <c r="AB43" s="1271" t="s">
        <v>2155</v>
      </c>
      <c r="AC43" s="1271">
        <v>232</v>
      </c>
      <c r="AD43" s="1300">
        <f>46+37+37+23+230+230+51+11+114+25+50+46+17+90</f>
        <v>1007</v>
      </c>
      <c r="AE43" s="1299"/>
      <c r="AF43" s="1282">
        <v>719</v>
      </c>
      <c r="AG43" s="1281"/>
      <c r="AH43" s="1281"/>
      <c r="AI43" s="1281"/>
      <c r="AJ43" s="1281"/>
      <c r="AK43" s="1299"/>
      <c r="AL43" s="1281"/>
      <c r="AM43" s="1281"/>
      <c r="AN43" s="1281"/>
      <c r="AO43" s="1281"/>
      <c r="AP43" s="1285" t="s">
        <v>1157</v>
      </c>
      <c r="AQ43" s="1285">
        <v>7</v>
      </c>
      <c r="AR43" s="1285">
        <f>50%*AQ43</f>
        <v>3.5</v>
      </c>
      <c r="AS43" s="1272" t="s">
        <v>2163</v>
      </c>
      <c r="AT43" s="1285" t="s">
        <v>2271</v>
      </c>
    </row>
    <row r="44" spans="1:46" s="1263" customFormat="1" ht="27" customHeight="1">
      <c r="A44" s="1324">
        <v>2</v>
      </c>
      <c r="B44" s="1275" t="s">
        <v>2272</v>
      </c>
      <c r="C44" s="1283"/>
      <c r="D44" s="133" t="s">
        <v>2155</v>
      </c>
      <c r="E44" s="133" t="s">
        <v>1334</v>
      </c>
      <c r="F44" s="133" t="s">
        <v>2156</v>
      </c>
      <c r="G44" s="133" t="s">
        <v>2157</v>
      </c>
      <c r="H44" s="133" t="s">
        <v>2158</v>
      </c>
      <c r="I44" s="1283">
        <v>1</v>
      </c>
      <c r="J44" s="1276" t="s">
        <v>2273</v>
      </c>
      <c r="K44" s="133" t="s">
        <v>2155</v>
      </c>
      <c r="L44" s="1324">
        <v>47</v>
      </c>
      <c r="M44" s="1298" t="s">
        <v>2160</v>
      </c>
      <c r="N44" s="133" t="s">
        <v>2201</v>
      </c>
      <c r="O44" s="1283"/>
      <c r="P44" s="1283"/>
      <c r="Q44" s="1283"/>
      <c r="R44" s="1283"/>
      <c r="S44" s="1283"/>
      <c r="T44" s="1283"/>
      <c r="U44" s="1283"/>
      <c r="V44" s="1283"/>
      <c r="W44" s="1283"/>
      <c r="X44" s="1283"/>
      <c r="Y44" s="1283"/>
      <c r="Z44" s="1283"/>
      <c r="AA44" s="1283"/>
      <c r="AB44" s="1271" t="s">
        <v>2155</v>
      </c>
      <c r="AC44" s="1283">
        <v>47</v>
      </c>
      <c r="AD44" s="1283">
        <v>151</v>
      </c>
      <c r="AE44" s="1283"/>
      <c r="AF44" s="1283"/>
      <c r="AG44" s="1283">
        <v>134</v>
      </c>
      <c r="AH44" s="1283"/>
      <c r="AI44" s="1283"/>
      <c r="AJ44" s="1283"/>
      <c r="AK44" s="1283"/>
      <c r="AL44" s="1283"/>
      <c r="AM44" s="1283"/>
      <c r="AN44" s="1324">
        <v>151</v>
      </c>
      <c r="AO44" s="1283"/>
      <c r="AP44" s="1285" t="s">
        <v>1157</v>
      </c>
      <c r="AQ44" s="1283">
        <v>2</v>
      </c>
      <c r="AR44" s="1283">
        <f>50%*AQ44</f>
        <v>1</v>
      </c>
      <c r="AS44" s="1272" t="s">
        <v>2163</v>
      </c>
      <c r="AT44" s="1285" t="s">
        <v>2154</v>
      </c>
    </row>
  </sheetData>
  <sheetProtection/>
  <mergeCells count="43">
    <mergeCell ref="W6:W7"/>
    <mergeCell ref="O6:O7"/>
    <mergeCell ref="Y6:Y7"/>
    <mergeCell ref="Z6:Z7"/>
    <mergeCell ref="U6:U7"/>
    <mergeCell ref="V6:V7"/>
    <mergeCell ref="A5:A7"/>
    <mergeCell ref="B5:B7"/>
    <mergeCell ref="N5:N7"/>
    <mergeCell ref="AP5:AR5"/>
    <mergeCell ref="I5:J5"/>
    <mergeCell ref="K5:M5"/>
    <mergeCell ref="P6:P7"/>
    <mergeCell ref="Q6:T6"/>
    <mergeCell ref="AA6:AA7"/>
    <mergeCell ref="U5:AA5"/>
    <mergeCell ref="C5:C7"/>
    <mergeCell ref="D5:H5"/>
    <mergeCell ref="E6:E7"/>
    <mergeCell ref="D6:D7"/>
    <mergeCell ref="F6:F7"/>
    <mergeCell ref="G6:G7"/>
    <mergeCell ref="H6:H7"/>
    <mergeCell ref="I6:I7"/>
    <mergeCell ref="J6:J7"/>
    <mergeCell ref="K6:K7"/>
    <mergeCell ref="L6:L7"/>
    <mergeCell ref="M6:M7"/>
    <mergeCell ref="AB5:AD5"/>
    <mergeCell ref="AB6:AB7"/>
    <mergeCell ref="AC6:AC7"/>
    <mergeCell ref="AD6:AD7"/>
    <mergeCell ref="X6:X7"/>
    <mergeCell ref="A1:T1"/>
    <mergeCell ref="A2:T2"/>
    <mergeCell ref="AE5:AJ6"/>
    <mergeCell ref="AK5:AO6"/>
    <mergeCell ref="AS5:AT5"/>
    <mergeCell ref="AP6:AP7"/>
    <mergeCell ref="AQ6:AQ7"/>
    <mergeCell ref="AR6:AR7"/>
    <mergeCell ref="AS6:AS7"/>
    <mergeCell ref="AT6:AT7"/>
  </mergeCells>
  <dataValidations count="1">
    <dataValidation allowBlank="1" showInputMessage="1" showErrorMessage="1" error="Connections can only be counted once a scheme is completed" sqref="AC34:AC35 AC28 AC24:AC26 AC22 AC30:AC31 AC12 AC16:AC20"/>
  </dataValidations>
  <printOptions horizontalCentered="1"/>
  <pageMargins left="0" right="0" top="0.5905511811023623" bottom="0.3937007874015748" header="0.31496062992125984" footer="0.31496062992125984"/>
  <pageSetup horizontalDpi="600" verticalDpi="600" orientation="landscape" paperSize="9" scale="90" r:id="rId2"/>
  <drawing r:id="rId1"/>
</worksheet>
</file>

<file path=xl/worksheets/sheet26.xml><?xml version="1.0" encoding="utf-8"?>
<worksheet xmlns="http://schemas.openxmlformats.org/spreadsheetml/2006/main" xmlns:r="http://schemas.openxmlformats.org/officeDocument/2006/relationships">
  <dimension ref="A1:BZ40"/>
  <sheetViews>
    <sheetView zoomScalePageLayoutView="0" workbookViewId="0" topLeftCell="A16">
      <selection activeCell="A2" sqref="A2:BZ2"/>
    </sheetView>
  </sheetViews>
  <sheetFormatPr defaultColWidth="8.796875" defaultRowHeight="15"/>
  <cols>
    <col min="1" max="1" width="2.59765625" style="611" customWidth="1"/>
    <col min="2" max="2" width="15.69921875" style="611" customWidth="1"/>
    <col min="3" max="3" width="4.69921875" style="611" customWidth="1"/>
    <col min="4" max="4" width="6.5" style="611" customWidth="1"/>
    <col min="5" max="5" width="4.69921875" style="611" customWidth="1"/>
    <col min="6" max="6" width="0.1015625" style="611" customWidth="1"/>
    <col min="7" max="18" width="1.4921875" style="611" customWidth="1"/>
    <col min="19" max="78" width="1.59765625" style="611" customWidth="1"/>
    <col min="79" max="16384" width="9" style="611" customWidth="1"/>
  </cols>
  <sheetData>
    <row r="1" spans="1:78" ht="19.5" customHeight="1">
      <c r="A1" s="1579" t="s">
        <v>1385</v>
      </c>
      <c r="B1" s="1579"/>
      <c r="C1" s="1579"/>
      <c r="D1" s="1579"/>
      <c r="E1" s="1579"/>
      <c r="F1" s="1579"/>
      <c r="G1" s="1579"/>
      <c r="H1" s="1579"/>
      <c r="I1" s="1579"/>
      <c r="J1" s="1579"/>
      <c r="K1" s="1579"/>
      <c r="L1" s="1579"/>
      <c r="M1" s="1579"/>
      <c r="N1" s="1579"/>
      <c r="O1" s="1579"/>
      <c r="P1" s="1579"/>
      <c r="Q1" s="1579"/>
      <c r="R1" s="1579"/>
      <c r="S1" s="1579"/>
      <c r="T1" s="1579"/>
      <c r="U1" s="1579"/>
      <c r="V1" s="1579"/>
      <c r="W1" s="1579"/>
      <c r="X1" s="1579"/>
      <c r="Y1" s="1579"/>
      <c r="Z1" s="1579"/>
      <c r="AA1" s="1579"/>
      <c r="AB1" s="1579"/>
      <c r="AC1" s="1579"/>
      <c r="AD1" s="1579"/>
      <c r="AE1" s="1579"/>
      <c r="AF1" s="1579"/>
      <c r="AG1" s="1579"/>
      <c r="AH1" s="1579"/>
      <c r="AI1" s="1579"/>
      <c r="AJ1" s="1579"/>
      <c r="AK1" s="1579"/>
      <c r="AL1" s="1579"/>
      <c r="AM1" s="1579"/>
      <c r="AN1" s="1579"/>
      <c r="AO1" s="1579"/>
      <c r="AP1" s="1579"/>
      <c r="AQ1" s="1579"/>
      <c r="AR1" s="1579"/>
      <c r="AS1" s="1579"/>
      <c r="AT1" s="1579"/>
      <c r="AU1" s="1579"/>
      <c r="AV1" s="1579"/>
      <c r="AW1" s="1579"/>
      <c r="AX1" s="1579"/>
      <c r="AY1" s="1579"/>
      <c r="AZ1" s="1579"/>
      <c r="BA1" s="1579"/>
      <c r="BB1" s="1579"/>
      <c r="BC1" s="1579"/>
      <c r="BD1" s="1579"/>
      <c r="BE1" s="1579"/>
      <c r="BF1" s="1579"/>
      <c r="BG1" s="1579"/>
      <c r="BH1" s="1579"/>
      <c r="BI1" s="1579"/>
      <c r="BJ1" s="1579"/>
      <c r="BK1" s="1579"/>
      <c r="BL1" s="1579"/>
      <c r="BM1" s="1579"/>
      <c r="BN1" s="1579"/>
      <c r="BO1" s="1579"/>
      <c r="BP1" s="1579"/>
      <c r="BQ1" s="1579"/>
      <c r="BR1" s="1579"/>
      <c r="BS1" s="1579"/>
      <c r="BT1" s="1579"/>
      <c r="BU1" s="1579"/>
      <c r="BV1" s="1579"/>
      <c r="BW1" s="1579"/>
      <c r="BX1" s="1579"/>
      <c r="BY1" s="1579"/>
      <c r="BZ1" s="1579"/>
    </row>
    <row r="2" spans="1:78" ht="21.75" customHeight="1">
      <c r="A2" s="1580" t="s">
        <v>2315</v>
      </c>
      <c r="B2" s="1580"/>
      <c r="C2" s="1580"/>
      <c r="D2" s="1580"/>
      <c r="E2" s="1580"/>
      <c r="F2" s="1580"/>
      <c r="G2" s="1580"/>
      <c r="H2" s="1580"/>
      <c r="I2" s="1580"/>
      <c r="J2" s="1580"/>
      <c r="K2" s="1580"/>
      <c r="L2" s="1580"/>
      <c r="M2" s="1580"/>
      <c r="N2" s="1580"/>
      <c r="O2" s="1580"/>
      <c r="P2" s="1580"/>
      <c r="Q2" s="1580"/>
      <c r="R2" s="1580"/>
      <c r="S2" s="1580"/>
      <c r="T2" s="1580"/>
      <c r="U2" s="1580"/>
      <c r="V2" s="1580"/>
      <c r="W2" s="1580"/>
      <c r="X2" s="1580"/>
      <c r="Y2" s="1580"/>
      <c r="Z2" s="1580"/>
      <c r="AA2" s="1580"/>
      <c r="AB2" s="1580"/>
      <c r="AC2" s="1580"/>
      <c r="AD2" s="1580"/>
      <c r="AE2" s="1580"/>
      <c r="AF2" s="1580"/>
      <c r="AG2" s="1580"/>
      <c r="AH2" s="1580"/>
      <c r="AI2" s="1580"/>
      <c r="AJ2" s="1580"/>
      <c r="AK2" s="1580"/>
      <c r="AL2" s="1580"/>
      <c r="AM2" s="1580"/>
      <c r="AN2" s="1580"/>
      <c r="AO2" s="1580"/>
      <c r="AP2" s="1580"/>
      <c r="AQ2" s="1580"/>
      <c r="AR2" s="1580"/>
      <c r="AS2" s="1580"/>
      <c r="AT2" s="1580"/>
      <c r="AU2" s="1580"/>
      <c r="AV2" s="1580"/>
      <c r="AW2" s="1580"/>
      <c r="AX2" s="1580"/>
      <c r="AY2" s="1580"/>
      <c r="AZ2" s="1580"/>
      <c r="BA2" s="1580"/>
      <c r="BB2" s="1580"/>
      <c r="BC2" s="1580"/>
      <c r="BD2" s="1580"/>
      <c r="BE2" s="1580"/>
      <c r="BF2" s="1580"/>
      <c r="BG2" s="1580"/>
      <c r="BH2" s="1580"/>
      <c r="BI2" s="1580"/>
      <c r="BJ2" s="1580"/>
      <c r="BK2" s="1580"/>
      <c r="BL2" s="1580"/>
      <c r="BM2" s="1580"/>
      <c r="BN2" s="1580"/>
      <c r="BO2" s="1580"/>
      <c r="BP2" s="1580"/>
      <c r="BQ2" s="1580"/>
      <c r="BR2" s="1580"/>
      <c r="BS2" s="1580"/>
      <c r="BT2" s="1580"/>
      <c r="BU2" s="1580"/>
      <c r="BV2" s="1580"/>
      <c r="BW2" s="1580"/>
      <c r="BX2" s="1580"/>
      <c r="BY2" s="1580"/>
      <c r="BZ2" s="1580"/>
    </row>
    <row r="3" spans="1:78" s="612" customFormat="1" ht="22.5" customHeight="1">
      <c r="A3" s="1581" t="s">
        <v>488</v>
      </c>
      <c r="B3" s="1581" t="s">
        <v>752</v>
      </c>
      <c r="C3" s="1582" t="s">
        <v>1187</v>
      </c>
      <c r="D3" s="1584" t="s">
        <v>1188</v>
      </c>
      <c r="E3" s="1585"/>
      <c r="F3" s="1581" t="s">
        <v>1189</v>
      </c>
      <c r="G3" s="1581" t="s">
        <v>1190</v>
      </c>
      <c r="H3" s="1578"/>
      <c r="I3" s="1578"/>
      <c r="J3" s="1578"/>
      <c r="K3" s="1578"/>
      <c r="L3" s="1578"/>
      <c r="M3" s="1578"/>
      <c r="N3" s="1578"/>
      <c r="O3" s="1578"/>
      <c r="P3" s="1578"/>
      <c r="Q3" s="1578"/>
      <c r="R3" s="1578"/>
      <c r="S3" s="1581" t="s">
        <v>1191</v>
      </c>
      <c r="T3" s="1578"/>
      <c r="U3" s="1578"/>
      <c r="V3" s="1578"/>
      <c r="W3" s="1578"/>
      <c r="X3" s="1578"/>
      <c r="Y3" s="1578"/>
      <c r="Z3" s="1578"/>
      <c r="AA3" s="1578"/>
      <c r="AB3" s="1578"/>
      <c r="AC3" s="1578"/>
      <c r="AD3" s="1578"/>
      <c r="AE3" s="1581" t="s">
        <v>1192</v>
      </c>
      <c r="AF3" s="1578"/>
      <c r="AG3" s="1578"/>
      <c r="AH3" s="1578"/>
      <c r="AI3" s="1578"/>
      <c r="AJ3" s="1578"/>
      <c r="AK3" s="1578"/>
      <c r="AL3" s="1578"/>
      <c r="AM3" s="1578"/>
      <c r="AN3" s="1578"/>
      <c r="AO3" s="1578"/>
      <c r="AP3" s="1578"/>
      <c r="AQ3" s="1581" t="s">
        <v>1193</v>
      </c>
      <c r="AR3" s="1578"/>
      <c r="AS3" s="1578"/>
      <c r="AT3" s="1578"/>
      <c r="AU3" s="1578"/>
      <c r="AV3" s="1578"/>
      <c r="AW3" s="1578"/>
      <c r="AX3" s="1578"/>
      <c r="AY3" s="1578"/>
      <c r="AZ3" s="1578"/>
      <c r="BA3" s="1578"/>
      <c r="BB3" s="1578"/>
      <c r="BC3" s="1577" t="s">
        <v>1438</v>
      </c>
      <c r="BD3" s="1578"/>
      <c r="BE3" s="1578"/>
      <c r="BF3" s="1578"/>
      <c r="BG3" s="1578"/>
      <c r="BH3" s="1578"/>
      <c r="BI3" s="1578"/>
      <c r="BJ3" s="1578"/>
      <c r="BK3" s="1578"/>
      <c r="BL3" s="1578"/>
      <c r="BM3" s="1578"/>
      <c r="BN3" s="1578"/>
      <c r="BO3" s="1577" t="s">
        <v>1439</v>
      </c>
      <c r="BP3" s="1578"/>
      <c r="BQ3" s="1578"/>
      <c r="BR3" s="1578"/>
      <c r="BS3" s="1578"/>
      <c r="BT3" s="1578"/>
      <c r="BU3" s="1578"/>
      <c r="BV3" s="1578"/>
      <c r="BW3" s="1578"/>
      <c r="BX3" s="1578"/>
      <c r="BY3" s="1578"/>
      <c r="BZ3" s="1578"/>
    </row>
    <row r="4" spans="1:78" s="612" customFormat="1" ht="27" customHeight="1">
      <c r="A4" s="1578"/>
      <c r="B4" s="1578"/>
      <c r="C4" s="1583"/>
      <c r="D4" s="948" t="s">
        <v>1194</v>
      </c>
      <c r="E4" s="949" t="s">
        <v>1195</v>
      </c>
      <c r="F4" s="1578"/>
      <c r="G4" s="1004">
        <v>1</v>
      </c>
      <c r="H4" s="1004">
        <v>2</v>
      </c>
      <c r="I4" s="1004">
        <v>3</v>
      </c>
      <c r="J4" s="1004">
        <v>4</v>
      </c>
      <c r="K4" s="1004">
        <v>5</v>
      </c>
      <c r="L4" s="1004">
        <v>6</v>
      </c>
      <c r="M4" s="1004">
        <v>7</v>
      </c>
      <c r="N4" s="1004">
        <v>8</v>
      </c>
      <c r="O4" s="1004">
        <v>9</v>
      </c>
      <c r="P4" s="1004">
        <v>10</v>
      </c>
      <c r="Q4" s="1004">
        <v>11</v>
      </c>
      <c r="R4" s="1004">
        <v>12</v>
      </c>
      <c r="S4" s="1004">
        <v>1</v>
      </c>
      <c r="T4" s="1004">
        <v>2</v>
      </c>
      <c r="U4" s="1004">
        <v>3</v>
      </c>
      <c r="V4" s="1004">
        <v>4</v>
      </c>
      <c r="W4" s="1004">
        <v>5</v>
      </c>
      <c r="X4" s="1004">
        <v>6</v>
      </c>
      <c r="Y4" s="1004">
        <v>7</v>
      </c>
      <c r="Z4" s="1004">
        <v>8</v>
      </c>
      <c r="AA4" s="1004">
        <v>9</v>
      </c>
      <c r="AB4" s="1004">
        <v>10</v>
      </c>
      <c r="AC4" s="1004">
        <v>11</v>
      </c>
      <c r="AD4" s="1004">
        <v>12</v>
      </c>
      <c r="AE4" s="1004">
        <v>1</v>
      </c>
      <c r="AF4" s="1004">
        <v>2</v>
      </c>
      <c r="AG4" s="1004">
        <v>3</v>
      </c>
      <c r="AH4" s="1004">
        <v>4</v>
      </c>
      <c r="AI4" s="1004">
        <v>5</v>
      </c>
      <c r="AJ4" s="1004">
        <v>6</v>
      </c>
      <c r="AK4" s="1004">
        <v>7</v>
      </c>
      <c r="AL4" s="1004">
        <v>8</v>
      </c>
      <c r="AM4" s="1004">
        <v>9</v>
      </c>
      <c r="AN4" s="1004">
        <v>10</v>
      </c>
      <c r="AO4" s="1004">
        <v>11</v>
      </c>
      <c r="AP4" s="1004">
        <v>12</v>
      </c>
      <c r="AQ4" s="1004">
        <v>1</v>
      </c>
      <c r="AR4" s="1004">
        <v>2</v>
      </c>
      <c r="AS4" s="1004">
        <v>3</v>
      </c>
      <c r="AT4" s="1004">
        <v>4</v>
      </c>
      <c r="AU4" s="1004">
        <v>5</v>
      </c>
      <c r="AV4" s="1004">
        <v>6</v>
      </c>
      <c r="AW4" s="1004">
        <v>7</v>
      </c>
      <c r="AX4" s="1004">
        <v>8</v>
      </c>
      <c r="AY4" s="1004">
        <v>9</v>
      </c>
      <c r="AZ4" s="1004">
        <v>10</v>
      </c>
      <c r="BA4" s="1004">
        <v>11</v>
      </c>
      <c r="BB4" s="1004">
        <v>12</v>
      </c>
      <c r="BC4" s="1004">
        <v>1</v>
      </c>
      <c r="BD4" s="1004">
        <v>2</v>
      </c>
      <c r="BE4" s="1004">
        <v>3</v>
      </c>
      <c r="BF4" s="1004">
        <v>4</v>
      </c>
      <c r="BG4" s="1004">
        <v>5</v>
      </c>
      <c r="BH4" s="1004">
        <v>6</v>
      </c>
      <c r="BI4" s="1004">
        <v>7</v>
      </c>
      <c r="BJ4" s="1004">
        <v>8</v>
      </c>
      <c r="BK4" s="1004">
        <v>9</v>
      </c>
      <c r="BL4" s="1004">
        <v>10</v>
      </c>
      <c r="BM4" s="1004">
        <v>11</v>
      </c>
      <c r="BN4" s="1004">
        <v>12</v>
      </c>
      <c r="BO4" s="1004">
        <v>1</v>
      </c>
      <c r="BP4" s="1004">
        <v>2</v>
      </c>
      <c r="BQ4" s="1004">
        <v>3</v>
      </c>
      <c r="BR4" s="1004">
        <v>4</v>
      </c>
      <c r="BS4" s="1004">
        <v>5</v>
      </c>
      <c r="BT4" s="1004">
        <v>6</v>
      </c>
      <c r="BU4" s="1004">
        <v>7</v>
      </c>
      <c r="BV4" s="1004">
        <v>8</v>
      </c>
      <c r="BW4" s="1004">
        <v>9</v>
      </c>
      <c r="BX4" s="1004">
        <v>10</v>
      </c>
      <c r="BY4" s="1004">
        <v>11</v>
      </c>
      <c r="BZ4" s="1004">
        <v>12</v>
      </c>
    </row>
    <row r="5" spans="1:78" s="613" customFormat="1" ht="35.25" customHeight="1">
      <c r="A5" s="950">
        <v>1</v>
      </c>
      <c r="B5" s="951" t="s">
        <v>2277</v>
      </c>
      <c r="C5" s="952">
        <f>'[1]Biểu 9'!AG10</f>
        <v>418</v>
      </c>
      <c r="D5" s="953">
        <f>'[1]Biểu 9'!Q10</f>
        <v>8463.47</v>
      </c>
      <c r="E5" s="954">
        <f>D5/22450</f>
        <v>0.376991982182628</v>
      </c>
      <c r="F5" s="955"/>
      <c r="G5" s="956"/>
      <c r="H5" s="957"/>
      <c r="I5" s="957"/>
      <c r="J5" s="958"/>
      <c r="K5" s="958"/>
      <c r="L5" s="958"/>
      <c r="M5" s="958"/>
      <c r="N5" s="959"/>
      <c r="O5" s="959"/>
      <c r="P5" s="959"/>
      <c r="Q5" s="959"/>
      <c r="R5" s="959"/>
      <c r="S5" s="960"/>
      <c r="T5" s="960" t="s">
        <v>2278</v>
      </c>
      <c r="U5" s="960" t="s">
        <v>2278</v>
      </c>
      <c r="V5" s="960" t="s">
        <v>2278</v>
      </c>
      <c r="W5" s="960" t="s">
        <v>2278</v>
      </c>
      <c r="X5" s="960" t="s">
        <v>2278</v>
      </c>
      <c r="Y5" s="960" t="s">
        <v>2278</v>
      </c>
      <c r="Z5" s="960" t="s">
        <v>2278</v>
      </c>
      <c r="AA5" s="960" t="s">
        <v>2278</v>
      </c>
      <c r="AB5" s="960" t="s">
        <v>2278</v>
      </c>
      <c r="AC5" s="960" t="s">
        <v>2278</v>
      </c>
      <c r="AD5" s="960" t="s">
        <v>2278</v>
      </c>
      <c r="AE5" s="961" t="s">
        <v>954</v>
      </c>
      <c r="AF5" s="961" t="s">
        <v>954</v>
      </c>
      <c r="AG5" s="961" t="s">
        <v>954</v>
      </c>
      <c r="AH5" s="961" t="s">
        <v>954</v>
      </c>
      <c r="AI5" s="961" t="s">
        <v>954</v>
      </c>
      <c r="AJ5" s="961" t="s">
        <v>954</v>
      </c>
      <c r="AK5" s="961" t="s">
        <v>954</v>
      </c>
      <c r="AL5" s="961" t="s">
        <v>954</v>
      </c>
      <c r="AM5" s="961" t="s">
        <v>954</v>
      </c>
      <c r="AN5" s="961" t="s">
        <v>954</v>
      </c>
      <c r="AO5" s="961" t="s">
        <v>954</v>
      </c>
      <c r="AP5" s="961" t="s">
        <v>954</v>
      </c>
      <c r="AQ5" s="961" t="s">
        <v>954</v>
      </c>
      <c r="AR5" s="961" t="s">
        <v>954</v>
      </c>
      <c r="AS5" s="961" t="s">
        <v>954</v>
      </c>
      <c r="AT5" s="961" t="s">
        <v>954</v>
      </c>
      <c r="AU5" s="961" t="s">
        <v>954</v>
      </c>
      <c r="AV5" s="961" t="s">
        <v>954</v>
      </c>
      <c r="AW5" s="961" t="s">
        <v>954</v>
      </c>
      <c r="AX5" s="961" t="s">
        <v>954</v>
      </c>
      <c r="AY5" s="961" t="s">
        <v>954</v>
      </c>
      <c r="AZ5" s="961" t="s">
        <v>954</v>
      </c>
      <c r="BA5" s="961" t="s">
        <v>954</v>
      </c>
      <c r="BB5" s="961" t="s">
        <v>954</v>
      </c>
      <c r="BC5" s="961" t="s">
        <v>954</v>
      </c>
      <c r="BD5" s="961" t="s">
        <v>954</v>
      </c>
      <c r="BE5" s="961" t="s">
        <v>954</v>
      </c>
      <c r="BF5" s="961" t="s">
        <v>954</v>
      </c>
      <c r="BG5" s="961" t="s">
        <v>954</v>
      </c>
      <c r="BH5" s="961" t="s">
        <v>954</v>
      </c>
      <c r="BI5" s="961" t="s">
        <v>954</v>
      </c>
      <c r="BJ5" s="961" t="s">
        <v>954</v>
      </c>
      <c r="BK5" s="961" t="s">
        <v>954</v>
      </c>
      <c r="BL5" s="961" t="s">
        <v>954</v>
      </c>
      <c r="BM5" s="961" t="s">
        <v>954</v>
      </c>
      <c r="BN5" s="961" t="s">
        <v>954</v>
      </c>
      <c r="BO5" s="962"/>
      <c r="BP5" s="962"/>
      <c r="BQ5" s="962"/>
      <c r="BR5" s="962"/>
      <c r="BS5" s="962"/>
      <c r="BT5" s="962"/>
      <c r="BU5" s="962"/>
      <c r="BV5" s="962"/>
      <c r="BW5" s="962"/>
      <c r="BX5" s="962"/>
      <c r="BY5" s="962"/>
      <c r="BZ5" s="962"/>
    </row>
    <row r="6" spans="1:78" s="613" customFormat="1" ht="35.25" customHeight="1">
      <c r="A6" s="950">
        <v>2</v>
      </c>
      <c r="B6" s="951" t="s">
        <v>2279</v>
      </c>
      <c r="C6" s="952">
        <f>'[1]Biểu 9'!AG11</f>
        <v>447</v>
      </c>
      <c r="D6" s="953">
        <f>'[1]Biểu 9'!Q11</f>
        <v>8726.356</v>
      </c>
      <c r="E6" s="954">
        <f aca="true" t="shared" si="0" ref="E6:E36">D6/22450</f>
        <v>0.3887018262806236</v>
      </c>
      <c r="F6" s="963"/>
      <c r="G6" s="964"/>
      <c r="H6" s="964"/>
      <c r="I6" s="964"/>
      <c r="J6" s="965"/>
      <c r="K6" s="965"/>
      <c r="L6" s="965"/>
      <c r="M6" s="966"/>
      <c r="N6" s="959"/>
      <c r="O6" s="959"/>
      <c r="P6" s="959"/>
      <c r="Q6" s="959"/>
      <c r="R6" s="959"/>
      <c r="S6" s="960"/>
      <c r="T6" s="960" t="s">
        <v>2278</v>
      </c>
      <c r="U6" s="960" t="s">
        <v>2278</v>
      </c>
      <c r="V6" s="960" t="s">
        <v>2278</v>
      </c>
      <c r="W6" s="960" t="s">
        <v>2278</v>
      </c>
      <c r="X6" s="960" t="s">
        <v>2278</v>
      </c>
      <c r="Y6" s="960" t="s">
        <v>2278</v>
      </c>
      <c r="Z6" s="960" t="s">
        <v>2278</v>
      </c>
      <c r="AA6" s="960" t="s">
        <v>2278</v>
      </c>
      <c r="AB6" s="960" t="s">
        <v>2278</v>
      </c>
      <c r="AC6" s="960" t="s">
        <v>2278</v>
      </c>
      <c r="AD6" s="960" t="s">
        <v>2278</v>
      </c>
      <c r="AE6" s="961" t="s">
        <v>954</v>
      </c>
      <c r="AF6" s="961" t="s">
        <v>954</v>
      </c>
      <c r="AG6" s="961" t="s">
        <v>954</v>
      </c>
      <c r="AH6" s="961" t="s">
        <v>954</v>
      </c>
      <c r="AI6" s="961" t="s">
        <v>954</v>
      </c>
      <c r="AJ6" s="961" t="s">
        <v>954</v>
      </c>
      <c r="AK6" s="961" t="s">
        <v>954</v>
      </c>
      <c r="AL6" s="961" t="s">
        <v>954</v>
      </c>
      <c r="AM6" s="961" t="s">
        <v>954</v>
      </c>
      <c r="AN6" s="961" t="s">
        <v>954</v>
      </c>
      <c r="AO6" s="961" t="s">
        <v>954</v>
      </c>
      <c r="AP6" s="961" t="s">
        <v>954</v>
      </c>
      <c r="AQ6" s="961" t="s">
        <v>954</v>
      </c>
      <c r="AR6" s="961" t="s">
        <v>954</v>
      </c>
      <c r="AS6" s="961" t="s">
        <v>954</v>
      </c>
      <c r="AT6" s="961" t="s">
        <v>954</v>
      </c>
      <c r="AU6" s="961" t="s">
        <v>954</v>
      </c>
      <c r="AV6" s="961" t="s">
        <v>954</v>
      </c>
      <c r="AW6" s="961" t="s">
        <v>954</v>
      </c>
      <c r="AX6" s="961" t="s">
        <v>954</v>
      </c>
      <c r="AY6" s="961" t="s">
        <v>954</v>
      </c>
      <c r="AZ6" s="961" t="s">
        <v>954</v>
      </c>
      <c r="BA6" s="961" t="s">
        <v>954</v>
      </c>
      <c r="BB6" s="961" t="s">
        <v>954</v>
      </c>
      <c r="BC6" s="961" t="s">
        <v>954</v>
      </c>
      <c r="BD6" s="961" t="s">
        <v>954</v>
      </c>
      <c r="BE6" s="961" t="s">
        <v>954</v>
      </c>
      <c r="BF6" s="961" t="s">
        <v>954</v>
      </c>
      <c r="BG6" s="961" t="s">
        <v>954</v>
      </c>
      <c r="BH6" s="961" t="s">
        <v>954</v>
      </c>
      <c r="BI6" s="961" t="s">
        <v>954</v>
      </c>
      <c r="BJ6" s="961" t="s">
        <v>954</v>
      </c>
      <c r="BK6" s="961" t="s">
        <v>954</v>
      </c>
      <c r="BL6" s="961" t="s">
        <v>954</v>
      </c>
      <c r="BM6" s="961" t="s">
        <v>954</v>
      </c>
      <c r="BN6" s="961" t="s">
        <v>954</v>
      </c>
      <c r="BO6" s="962"/>
      <c r="BP6" s="962"/>
      <c r="BQ6" s="962"/>
      <c r="BR6" s="962"/>
      <c r="BS6" s="962"/>
      <c r="BT6" s="962"/>
      <c r="BU6" s="962"/>
      <c r="BV6" s="962"/>
      <c r="BW6" s="962"/>
      <c r="BX6" s="962"/>
      <c r="BY6" s="962"/>
      <c r="BZ6" s="962"/>
    </row>
    <row r="7" spans="1:78" s="613" customFormat="1" ht="35.25" customHeight="1">
      <c r="A7" s="950">
        <v>3</v>
      </c>
      <c r="B7" s="951" t="s">
        <v>2280</v>
      </c>
      <c r="C7" s="952">
        <f>'[1]Biểu 9'!AG15</f>
        <v>315</v>
      </c>
      <c r="D7" s="953">
        <f>'[1]Biểu 9'!Q15</f>
        <v>5235.621</v>
      </c>
      <c r="E7" s="954">
        <f t="shared" si="0"/>
        <v>0.2332125167037862</v>
      </c>
      <c r="F7" s="967"/>
      <c r="G7" s="968"/>
      <c r="H7" s="969"/>
      <c r="I7" s="969"/>
      <c r="J7" s="970"/>
      <c r="K7" s="970"/>
      <c r="L7" s="970"/>
      <c r="M7" s="970"/>
      <c r="N7" s="971"/>
      <c r="O7" s="971"/>
      <c r="P7" s="971"/>
      <c r="Q7" s="971"/>
      <c r="R7" s="971"/>
      <c r="S7" s="960"/>
      <c r="T7" s="960" t="s">
        <v>2278</v>
      </c>
      <c r="U7" s="960" t="s">
        <v>2278</v>
      </c>
      <c r="V7" s="960" t="s">
        <v>2278</v>
      </c>
      <c r="W7" s="960" t="s">
        <v>2278</v>
      </c>
      <c r="X7" s="960" t="s">
        <v>2278</v>
      </c>
      <c r="Y7" s="960" t="s">
        <v>2278</v>
      </c>
      <c r="Z7" s="960" t="s">
        <v>2278</v>
      </c>
      <c r="AA7" s="960" t="s">
        <v>2278</v>
      </c>
      <c r="AB7" s="960" t="s">
        <v>2278</v>
      </c>
      <c r="AC7" s="960" t="s">
        <v>2278</v>
      </c>
      <c r="AD7" s="960" t="s">
        <v>2278</v>
      </c>
      <c r="AE7" s="961" t="s">
        <v>954</v>
      </c>
      <c r="AF7" s="961" t="s">
        <v>954</v>
      </c>
      <c r="AG7" s="961" t="s">
        <v>954</v>
      </c>
      <c r="AH7" s="961" t="s">
        <v>954</v>
      </c>
      <c r="AI7" s="961" t="s">
        <v>954</v>
      </c>
      <c r="AJ7" s="961" t="s">
        <v>954</v>
      </c>
      <c r="AK7" s="961" t="s">
        <v>954</v>
      </c>
      <c r="AL7" s="961" t="s">
        <v>954</v>
      </c>
      <c r="AM7" s="961" t="s">
        <v>954</v>
      </c>
      <c r="AN7" s="961" t="s">
        <v>954</v>
      </c>
      <c r="AO7" s="961" t="s">
        <v>954</v>
      </c>
      <c r="AP7" s="961" t="s">
        <v>954</v>
      </c>
      <c r="AQ7" s="961" t="s">
        <v>954</v>
      </c>
      <c r="AR7" s="961" t="s">
        <v>954</v>
      </c>
      <c r="AS7" s="961" t="s">
        <v>954</v>
      </c>
      <c r="AT7" s="961" t="s">
        <v>954</v>
      </c>
      <c r="AU7" s="961" t="s">
        <v>954</v>
      </c>
      <c r="AV7" s="961" t="s">
        <v>954</v>
      </c>
      <c r="AW7" s="961" t="s">
        <v>954</v>
      </c>
      <c r="AX7" s="961" t="s">
        <v>954</v>
      </c>
      <c r="AY7" s="961" t="s">
        <v>954</v>
      </c>
      <c r="AZ7" s="961" t="s">
        <v>954</v>
      </c>
      <c r="BA7" s="961" t="s">
        <v>954</v>
      </c>
      <c r="BB7" s="961" t="s">
        <v>954</v>
      </c>
      <c r="BC7" s="961" t="s">
        <v>954</v>
      </c>
      <c r="BD7" s="961" t="s">
        <v>954</v>
      </c>
      <c r="BE7" s="961" t="s">
        <v>954</v>
      </c>
      <c r="BF7" s="961" t="s">
        <v>954</v>
      </c>
      <c r="BG7" s="961" t="s">
        <v>954</v>
      </c>
      <c r="BH7" s="961" t="s">
        <v>954</v>
      </c>
      <c r="BI7" s="961" t="s">
        <v>954</v>
      </c>
      <c r="BJ7" s="961" t="s">
        <v>954</v>
      </c>
      <c r="BK7" s="961" t="s">
        <v>954</v>
      </c>
      <c r="BL7" s="961" t="s">
        <v>954</v>
      </c>
      <c r="BM7" s="961" t="s">
        <v>954</v>
      </c>
      <c r="BN7" s="961" t="s">
        <v>954</v>
      </c>
      <c r="BO7" s="962"/>
      <c r="BP7" s="962"/>
      <c r="BQ7" s="962"/>
      <c r="BR7" s="962"/>
      <c r="BS7" s="962"/>
      <c r="BT7" s="962"/>
      <c r="BU7" s="962"/>
      <c r="BV7" s="962"/>
      <c r="BW7" s="962"/>
      <c r="BX7" s="962"/>
      <c r="BY7" s="962"/>
      <c r="BZ7" s="962"/>
    </row>
    <row r="8" spans="1:78" s="613" customFormat="1" ht="35.25" customHeight="1">
      <c r="A8" s="950">
        <v>4</v>
      </c>
      <c r="B8" s="951" t="s">
        <v>2169</v>
      </c>
      <c r="C8" s="952">
        <f>'[1]Biểu 9'!AG12</f>
        <v>415</v>
      </c>
      <c r="D8" s="953">
        <f>'[1]Biểu 9'!Q12</f>
        <v>5382.311</v>
      </c>
      <c r="E8" s="954">
        <f t="shared" si="0"/>
        <v>0.23974659242761692</v>
      </c>
      <c r="F8" s="967"/>
      <c r="G8" s="968"/>
      <c r="H8" s="969"/>
      <c r="I8" s="969"/>
      <c r="J8" s="970"/>
      <c r="K8" s="970"/>
      <c r="L8" s="970"/>
      <c r="M8" s="970"/>
      <c r="N8" s="971"/>
      <c r="O8" s="971"/>
      <c r="P8" s="971"/>
      <c r="Q8" s="971"/>
      <c r="R8" s="971"/>
      <c r="S8" s="960"/>
      <c r="T8" s="960" t="s">
        <v>2278</v>
      </c>
      <c r="U8" s="960" t="s">
        <v>2278</v>
      </c>
      <c r="V8" s="960" t="s">
        <v>2278</v>
      </c>
      <c r="W8" s="960" t="s">
        <v>2278</v>
      </c>
      <c r="X8" s="960" t="s">
        <v>2278</v>
      </c>
      <c r="Y8" s="960" t="s">
        <v>2278</v>
      </c>
      <c r="Z8" s="960" t="s">
        <v>2278</v>
      </c>
      <c r="AA8" s="960" t="s">
        <v>2278</v>
      </c>
      <c r="AB8" s="960" t="s">
        <v>2278</v>
      </c>
      <c r="AC8" s="960" t="s">
        <v>2278</v>
      </c>
      <c r="AD8" s="960" t="s">
        <v>2278</v>
      </c>
      <c r="AE8" s="961" t="s">
        <v>954</v>
      </c>
      <c r="AF8" s="961" t="s">
        <v>954</v>
      </c>
      <c r="AG8" s="961" t="s">
        <v>954</v>
      </c>
      <c r="AH8" s="961" t="s">
        <v>954</v>
      </c>
      <c r="AI8" s="961" t="s">
        <v>954</v>
      </c>
      <c r="AJ8" s="961" t="s">
        <v>954</v>
      </c>
      <c r="AK8" s="961" t="s">
        <v>954</v>
      </c>
      <c r="AL8" s="961" t="s">
        <v>954</v>
      </c>
      <c r="AM8" s="961" t="s">
        <v>954</v>
      </c>
      <c r="AN8" s="961" t="s">
        <v>954</v>
      </c>
      <c r="AO8" s="961" t="s">
        <v>954</v>
      </c>
      <c r="AP8" s="961" t="s">
        <v>954</v>
      </c>
      <c r="AQ8" s="961" t="s">
        <v>954</v>
      </c>
      <c r="AR8" s="961" t="s">
        <v>954</v>
      </c>
      <c r="AS8" s="961" t="s">
        <v>954</v>
      </c>
      <c r="AT8" s="961" t="s">
        <v>954</v>
      </c>
      <c r="AU8" s="961" t="s">
        <v>954</v>
      </c>
      <c r="AV8" s="961" t="s">
        <v>954</v>
      </c>
      <c r="AW8" s="961" t="s">
        <v>954</v>
      </c>
      <c r="AX8" s="961" t="s">
        <v>954</v>
      </c>
      <c r="AY8" s="961" t="s">
        <v>954</v>
      </c>
      <c r="AZ8" s="961" t="s">
        <v>954</v>
      </c>
      <c r="BA8" s="961" t="s">
        <v>954</v>
      </c>
      <c r="BB8" s="961" t="s">
        <v>954</v>
      </c>
      <c r="BC8" s="961" t="s">
        <v>954</v>
      </c>
      <c r="BD8" s="961" t="s">
        <v>954</v>
      </c>
      <c r="BE8" s="961" t="s">
        <v>954</v>
      </c>
      <c r="BF8" s="961" t="s">
        <v>954</v>
      </c>
      <c r="BG8" s="961" t="s">
        <v>954</v>
      </c>
      <c r="BH8" s="961" t="s">
        <v>954</v>
      </c>
      <c r="BI8" s="961" t="s">
        <v>954</v>
      </c>
      <c r="BJ8" s="961" t="s">
        <v>954</v>
      </c>
      <c r="BK8" s="961" t="s">
        <v>954</v>
      </c>
      <c r="BL8" s="961" t="s">
        <v>954</v>
      </c>
      <c r="BM8" s="961" t="s">
        <v>954</v>
      </c>
      <c r="BN8" s="961" t="s">
        <v>954</v>
      </c>
      <c r="BO8" s="962"/>
      <c r="BP8" s="962"/>
      <c r="BQ8" s="962"/>
      <c r="BR8" s="962"/>
      <c r="BS8" s="962"/>
      <c r="BT8" s="962"/>
      <c r="BU8" s="962"/>
      <c r="BV8" s="962"/>
      <c r="BW8" s="962"/>
      <c r="BX8" s="962"/>
      <c r="BY8" s="962"/>
      <c r="BZ8" s="962"/>
    </row>
    <row r="9" spans="1:78" s="613" customFormat="1" ht="35.25" customHeight="1">
      <c r="A9" s="950">
        <v>5</v>
      </c>
      <c r="B9" s="951" t="s">
        <v>2281</v>
      </c>
      <c r="C9" s="952">
        <f>'[1]Biểu 9'!AG13</f>
        <v>440</v>
      </c>
      <c r="D9" s="953">
        <f>'[1]Biểu 9'!Q13</f>
        <v>4400.295</v>
      </c>
      <c r="E9" s="954">
        <f t="shared" si="0"/>
        <v>0.1960042316258352</v>
      </c>
      <c r="F9" s="972"/>
      <c r="G9" s="968"/>
      <c r="H9" s="969"/>
      <c r="I9" s="969"/>
      <c r="J9" s="970"/>
      <c r="K9" s="970"/>
      <c r="L9" s="970"/>
      <c r="M9" s="970"/>
      <c r="N9" s="971"/>
      <c r="O9" s="971"/>
      <c r="P9" s="971"/>
      <c r="Q9" s="971"/>
      <c r="R9" s="971"/>
      <c r="S9" s="960"/>
      <c r="T9" s="960" t="s">
        <v>2278</v>
      </c>
      <c r="U9" s="960" t="s">
        <v>2278</v>
      </c>
      <c r="V9" s="960" t="s">
        <v>2278</v>
      </c>
      <c r="W9" s="960" t="s">
        <v>2278</v>
      </c>
      <c r="X9" s="960" t="s">
        <v>2278</v>
      </c>
      <c r="Y9" s="960" t="s">
        <v>2278</v>
      </c>
      <c r="Z9" s="960" t="s">
        <v>2278</v>
      </c>
      <c r="AA9" s="960" t="s">
        <v>2278</v>
      </c>
      <c r="AB9" s="960" t="s">
        <v>2278</v>
      </c>
      <c r="AC9" s="960" t="s">
        <v>2278</v>
      </c>
      <c r="AD9" s="960" t="s">
        <v>2278</v>
      </c>
      <c r="AE9" s="961" t="s">
        <v>954</v>
      </c>
      <c r="AF9" s="961" t="s">
        <v>954</v>
      </c>
      <c r="AG9" s="961" t="s">
        <v>954</v>
      </c>
      <c r="AH9" s="961" t="s">
        <v>954</v>
      </c>
      <c r="AI9" s="961" t="s">
        <v>954</v>
      </c>
      <c r="AJ9" s="961" t="s">
        <v>954</v>
      </c>
      <c r="AK9" s="961" t="s">
        <v>954</v>
      </c>
      <c r="AL9" s="961" t="s">
        <v>954</v>
      </c>
      <c r="AM9" s="961" t="s">
        <v>954</v>
      </c>
      <c r="AN9" s="961" t="s">
        <v>954</v>
      </c>
      <c r="AO9" s="961" t="s">
        <v>954</v>
      </c>
      <c r="AP9" s="961" t="s">
        <v>954</v>
      </c>
      <c r="AQ9" s="961" t="s">
        <v>954</v>
      </c>
      <c r="AR9" s="961" t="s">
        <v>954</v>
      </c>
      <c r="AS9" s="961" t="s">
        <v>954</v>
      </c>
      <c r="AT9" s="961" t="s">
        <v>954</v>
      </c>
      <c r="AU9" s="961" t="s">
        <v>954</v>
      </c>
      <c r="AV9" s="961" t="s">
        <v>954</v>
      </c>
      <c r="AW9" s="961" t="s">
        <v>954</v>
      </c>
      <c r="AX9" s="961" t="s">
        <v>954</v>
      </c>
      <c r="AY9" s="961" t="s">
        <v>954</v>
      </c>
      <c r="AZ9" s="961" t="s">
        <v>954</v>
      </c>
      <c r="BA9" s="961" t="s">
        <v>954</v>
      </c>
      <c r="BB9" s="961" t="s">
        <v>954</v>
      </c>
      <c r="BC9" s="961" t="s">
        <v>954</v>
      </c>
      <c r="BD9" s="961" t="s">
        <v>954</v>
      </c>
      <c r="BE9" s="961" t="s">
        <v>954</v>
      </c>
      <c r="BF9" s="961" t="s">
        <v>954</v>
      </c>
      <c r="BG9" s="961" t="s">
        <v>954</v>
      </c>
      <c r="BH9" s="961" t="s">
        <v>954</v>
      </c>
      <c r="BI9" s="961" t="s">
        <v>954</v>
      </c>
      <c r="BJ9" s="961" t="s">
        <v>954</v>
      </c>
      <c r="BK9" s="961" t="s">
        <v>954</v>
      </c>
      <c r="BL9" s="961" t="s">
        <v>954</v>
      </c>
      <c r="BM9" s="961" t="s">
        <v>954</v>
      </c>
      <c r="BN9" s="961" t="s">
        <v>954</v>
      </c>
      <c r="BO9" s="962"/>
      <c r="BP9" s="962"/>
      <c r="BQ9" s="962"/>
      <c r="BR9" s="962"/>
      <c r="BS9" s="962"/>
      <c r="BT9" s="962"/>
      <c r="BU9" s="962"/>
      <c r="BV9" s="962"/>
      <c r="BW9" s="962"/>
      <c r="BX9" s="962"/>
      <c r="BY9" s="962"/>
      <c r="BZ9" s="962"/>
    </row>
    <row r="10" spans="1:78" ht="35.25" customHeight="1">
      <c r="A10" s="950">
        <v>6</v>
      </c>
      <c r="B10" s="951" t="s">
        <v>2282</v>
      </c>
      <c r="C10" s="952">
        <f>'[1]Biểu 9'!AG14</f>
        <v>364</v>
      </c>
      <c r="D10" s="953">
        <f>'[1]Biểu 9'!Q14</f>
        <v>4974.863</v>
      </c>
      <c r="E10" s="954">
        <f t="shared" si="0"/>
        <v>0.2215974610244989</v>
      </c>
      <c r="F10" s="967"/>
      <c r="G10" s="968"/>
      <c r="H10" s="969"/>
      <c r="I10" s="969"/>
      <c r="J10" s="970"/>
      <c r="K10" s="970"/>
      <c r="L10" s="970"/>
      <c r="M10" s="970"/>
      <c r="N10" s="971"/>
      <c r="O10" s="971"/>
      <c r="P10" s="971"/>
      <c r="Q10" s="971"/>
      <c r="R10" s="971"/>
      <c r="S10" s="960"/>
      <c r="T10" s="960" t="s">
        <v>2278</v>
      </c>
      <c r="U10" s="960" t="s">
        <v>2278</v>
      </c>
      <c r="V10" s="960" t="s">
        <v>2278</v>
      </c>
      <c r="W10" s="960" t="s">
        <v>2278</v>
      </c>
      <c r="X10" s="960" t="s">
        <v>2278</v>
      </c>
      <c r="Y10" s="960" t="s">
        <v>2278</v>
      </c>
      <c r="Z10" s="960" t="s">
        <v>2278</v>
      </c>
      <c r="AA10" s="960" t="s">
        <v>2278</v>
      </c>
      <c r="AB10" s="960" t="s">
        <v>2278</v>
      </c>
      <c r="AC10" s="960" t="s">
        <v>2278</v>
      </c>
      <c r="AD10" s="960" t="s">
        <v>2278</v>
      </c>
      <c r="AE10" s="961" t="s">
        <v>954</v>
      </c>
      <c r="AF10" s="961" t="s">
        <v>954</v>
      </c>
      <c r="AG10" s="961" t="s">
        <v>954</v>
      </c>
      <c r="AH10" s="961" t="s">
        <v>954</v>
      </c>
      <c r="AI10" s="961" t="s">
        <v>954</v>
      </c>
      <c r="AJ10" s="961" t="s">
        <v>954</v>
      </c>
      <c r="AK10" s="961" t="s">
        <v>954</v>
      </c>
      <c r="AL10" s="961" t="s">
        <v>954</v>
      </c>
      <c r="AM10" s="961" t="s">
        <v>954</v>
      </c>
      <c r="AN10" s="961" t="s">
        <v>954</v>
      </c>
      <c r="AO10" s="961" t="s">
        <v>954</v>
      </c>
      <c r="AP10" s="961" t="s">
        <v>954</v>
      </c>
      <c r="AQ10" s="961" t="s">
        <v>954</v>
      </c>
      <c r="AR10" s="961" t="s">
        <v>954</v>
      </c>
      <c r="AS10" s="961" t="s">
        <v>954</v>
      </c>
      <c r="AT10" s="961" t="s">
        <v>954</v>
      </c>
      <c r="AU10" s="961" t="s">
        <v>954</v>
      </c>
      <c r="AV10" s="961" t="s">
        <v>954</v>
      </c>
      <c r="AW10" s="961" t="s">
        <v>954</v>
      </c>
      <c r="AX10" s="961" t="s">
        <v>954</v>
      </c>
      <c r="AY10" s="961" t="s">
        <v>954</v>
      </c>
      <c r="AZ10" s="961" t="s">
        <v>954</v>
      </c>
      <c r="BA10" s="961" t="s">
        <v>954</v>
      </c>
      <c r="BB10" s="961" t="s">
        <v>954</v>
      </c>
      <c r="BC10" s="961" t="s">
        <v>954</v>
      </c>
      <c r="BD10" s="961" t="s">
        <v>954</v>
      </c>
      <c r="BE10" s="961" t="s">
        <v>954</v>
      </c>
      <c r="BF10" s="961" t="s">
        <v>954</v>
      </c>
      <c r="BG10" s="961" t="s">
        <v>954</v>
      </c>
      <c r="BH10" s="961" t="s">
        <v>954</v>
      </c>
      <c r="BI10" s="961" t="s">
        <v>954</v>
      </c>
      <c r="BJ10" s="961" t="s">
        <v>954</v>
      </c>
      <c r="BK10" s="961" t="s">
        <v>954</v>
      </c>
      <c r="BL10" s="961" t="s">
        <v>954</v>
      </c>
      <c r="BM10" s="961" t="s">
        <v>954</v>
      </c>
      <c r="BN10" s="961" t="s">
        <v>954</v>
      </c>
      <c r="BO10" s="973"/>
      <c r="BP10" s="973"/>
      <c r="BQ10" s="973"/>
      <c r="BR10" s="973"/>
      <c r="BS10" s="973"/>
      <c r="BT10" s="973"/>
      <c r="BU10" s="973"/>
      <c r="BV10" s="973"/>
      <c r="BW10" s="973"/>
      <c r="BX10" s="973"/>
      <c r="BY10" s="973"/>
      <c r="BZ10" s="973"/>
    </row>
    <row r="11" spans="1:78" ht="35.25" customHeight="1">
      <c r="A11" s="950">
        <v>7</v>
      </c>
      <c r="B11" s="951" t="s">
        <v>2283</v>
      </c>
      <c r="C11" s="952">
        <f>'[1]Biểu 9'!AG16</f>
        <v>658</v>
      </c>
      <c r="D11" s="953">
        <f>'[1]Biểu 9'!Q16</f>
        <v>6576.851</v>
      </c>
      <c r="E11" s="954">
        <f t="shared" si="0"/>
        <v>0.2929555011135857</v>
      </c>
      <c r="F11" s="967"/>
      <c r="G11" s="968"/>
      <c r="H11" s="969"/>
      <c r="I11" s="969"/>
      <c r="J11" s="970"/>
      <c r="K11" s="970"/>
      <c r="L11" s="970"/>
      <c r="M11" s="970"/>
      <c r="N11" s="971"/>
      <c r="O11" s="971"/>
      <c r="P11" s="971"/>
      <c r="Q11" s="971"/>
      <c r="R11" s="971"/>
      <c r="S11" s="960"/>
      <c r="T11" s="960" t="s">
        <v>2278</v>
      </c>
      <c r="U11" s="960" t="s">
        <v>2278</v>
      </c>
      <c r="V11" s="960" t="s">
        <v>2278</v>
      </c>
      <c r="W11" s="960" t="s">
        <v>2278</v>
      </c>
      <c r="X11" s="960" t="s">
        <v>2278</v>
      </c>
      <c r="Y11" s="960" t="s">
        <v>2278</v>
      </c>
      <c r="Z11" s="960" t="s">
        <v>2278</v>
      </c>
      <c r="AA11" s="960" t="s">
        <v>2278</v>
      </c>
      <c r="AB11" s="960" t="s">
        <v>2278</v>
      </c>
      <c r="AC11" s="960" t="s">
        <v>2278</v>
      </c>
      <c r="AD11" s="960" t="s">
        <v>2278</v>
      </c>
      <c r="AE11" s="961" t="s">
        <v>954</v>
      </c>
      <c r="AF11" s="961" t="s">
        <v>954</v>
      </c>
      <c r="AG11" s="961" t="s">
        <v>954</v>
      </c>
      <c r="AH11" s="961" t="s">
        <v>954</v>
      </c>
      <c r="AI11" s="961" t="s">
        <v>954</v>
      </c>
      <c r="AJ11" s="961" t="s">
        <v>954</v>
      </c>
      <c r="AK11" s="961" t="s">
        <v>954</v>
      </c>
      <c r="AL11" s="961" t="s">
        <v>954</v>
      </c>
      <c r="AM11" s="961" t="s">
        <v>954</v>
      </c>
      <c r="AN11" s="961" t="s">
        <v>954</v>
      </c>
      <c r="AO11" s="961" t="s">
        <v>954</v>
      </c>
      <c r="AP11" s="961" t="s">
        <v>954</v>
      </c>
      <c r="AQ11" s="961" t="s">
        <v>954</v>
      </c>
      <c r="AR11" s="961" t="s">
        <v>954</v>
      </c>
      <c r="AS11" s="961" t="s">
        <v>954</v>
      </c>
      <c r="AT11" s="961" t="s">
        <v>954</v>
      </c>
      <c r="AU11" s="961" t="s">
        <v>954</v>
      </c>
      <c r="AV11" s="961" t="s">
        <v>954</v>
      </c>
      <c r="AW11" s="961" t="s">
        <v>954</v>
      </c>
      <c r="AX11" s="961" t="s">
        <v>954</v>
      </c>
      <c r="AY11" s="961" t="s">
        <v>954</v>
      </c>
      <c r="AZ11" s="961" t="s">
        <v>954</v>
      </c>
      <c r="BA11" s="961" t="s">
        <v>954</v>
      </c>
      <c r="BB11" s="961" t="s">
        <v>954</v>
      </c>
      <c r="BC11" s="961" t="s">
        <v>954</v>
      </c>
      <c r="BD11" s="961" t="s">
        <v>954</v>
      </c>
      <c r="BE11" s="961" t="s">
        <v>954</v>
      </c>
      <c r="BF11" s="961" t="s">
        <v>954</v>
      </c>
      <c r="BG11" s="961" t="s">
        <v>954</v>
      </c>
      <c r="BH11" s="961" t="s">
        <v>954</v>
      </c>
      <c r="BI11" s="961" t="s">
        <v>954</v>
      </c>
      <c r="BJ11" s="961" t="s">
        <v>954</v>
      </c>
      <c r="BK11" s="961" t="s">
        <v>954</v>
      </c>
      <c r="BL11" s="961" t="s">
        <v>954</v>
      </c>
      <c r="BM11" s="961" t="s">
        <v>954</v>
      </c>
      <c r="BN11" s="961" t="s">
        <v>954</v>
      </c>
      <c r="BO11" s="973"/>
      <c r="BP11" s="973"/>
      <c r="BQ11" s="973"/>
      <c r="BR11" s="973"/>
      <c r="BS11" s="973"/>
      <c r="BT11" s="973"/>
      <c r="BU11" s="973"/>
      <c r="BV11" s="973"/>
      <c r="BW11" s="973"/>
      <c r="BX11" s="973"/>
      <c r="BY11" s="973"/>
      <c r="BZ11" s="973"/>
    </row>
    <row r="12" spans="1:78" ht="35.25" customHeight="1">
      <c r="A12" s="950">
        <v>8</v>
      </c>
      <c r="B12" s="951" t="s">
        <v>2284</v>
      </c>
      <c r="C12" s="952">
        <f>'[1]Biểu 9'!AG17+'[1]Biểu 9'!AH17</f>
        <v>874</v>
      </c>
      <c r="D12" s="953">
        <f>'[1]Biểu 9'!Q17</f>
        <v>6880.074</v>
      </c>
      <c r="E12" s="954">
        <f t="shared" si="0"/>
        <v>0.30646209354120263</v>
      </c>
      <c r="F12" s="967"/>
      <c r="G12" s="968"/>
      <c r="H12" s="969"/>
      <c r="I12" s="969"/>
      <c r="J12" s="970"/>
      <c r="K12" s="970"/>
      <c r="L12" s="970"/>
      <c r="M12" s="970"/>
      <c r="N12" s="971"/>
      <c r="O12" s="971"/>
      <c r="P12" s="971"/>
      <c r="Q12" s="971"/>
      <c r="R12" s="971"/>
      <c r="S12" s="960"/>
      <c r="T12" s="960" t="s">
        <v>2278</v>
      </c>
      <c r="U12" s="960" t="s">
        <v>2278</v>
      </c>
      <c r="V12" s="960" t="s">
        <v>2278</v>
      </c>
      <c r="W12" s="960" t="s">
        <v>2278</v>
      </c>
      <c r="X12" s="960" t="s">
        <v>2278</v>
      </c>
      <c r="Y12" s="960" t="s">
        <v>2278</v>
      </c>
      <c r="Z12" s="960" t="s">
        <v>2278</v>
      </c>
      <c r="AA12" s="960" t="s">
        <v>2278</v>
      </c>
      <c r="AB12" s="960" t="s">
        <v>2278</v>
      </c>
      <c r="AC12" s="960" t="s">
        <v>2278</v>
      </c>
      <c r="AD12" s="960" t="s">
        <v>2278</v>
      </c>
      <c r="AE12" s="961" t="s">
        <v>954</v>
      </c>
      <c r="AF12" s="961" t="s">
        <v>954</v>
      </c>
      <c r="AG12" s="961" t="s">
        <v>954</v>
      </c>
      <c r="AH12" s="961" t="s">
        <v>954</v>
      </c>
      <c r="AI12" s="961" t="s">
        <v>954</v>
      </c>
      <c r="AJ12" s="961" t="s">
        <v>954</v>
      </c>
      <c r="AK12" s="961" t="s">
        <v>954</v>
      </c>
      <c r="AL12" s="961" t="s">
        <v>954</v>
      </c>
      <c r="AM12" s="961" t="s">
        <v>954</v>
      </c>
      <c r="AN12" s="961" t="s">
        <v>954</v>
      </c>
      <c r="AO12" s="961" t="s">
        <v>954</v>
      </c>
      <c r="AP12" s="961" t="s">
        <v>954</v>
      </c>
      <c r="AQ12" s="961" t="s">
        <v>954</v>
      </c>
      <c r="AR12" s="961" t="s">
        <v>954</v>
      </c>
      <c r="AS12" s="961" t="s">
        <v>954</v>
      </c>
      <c r="AT12" s="961" t="s">
        <v>954</v>
      </c>
      <c r="AU12" s="961" t="s">
        <v>954</v>
      </c>
      <c r="AV12" s="961" t="s">
        <v>954</v>
      </c>
      <c r="AW12" s="961" t="s">
        <v>954</v>
      </c>
      <c r="AX12" s="961" t="s">
        <v>954</v>
      </c>
      <c r="AY12" s="961" t="s">
        <v>954</v>
      </c>
      <c r="AZ12" s="961" t="s">
        <v>954</v>
      </c>
      <c r="BA12" s="961" t="s">
        <v>954</v>
      </c>
      <c r="BB12" s="961" t="s">
        <v>954</v>
      </c>
      <c r="BC12" s="961" t="s">
        <v>954</v>
      </c>
      <c r="BD12" s="961" t="s">
        <v>954</v>
      </c>
      <c r="BE12" s="961" t="s">
        <v>954</v>
      </c>
      <c r="BF12" s="961" t="s">
        <v>954</v>
      </c>
      <c r="BG12" s="961" t="s">
        <v>954</v>
      </c>
      <c r="BH12" s="961" t="s">
        <v>954</v>
      </c>
      <c r="BI12" s="961" t="s">
        <v>954</v>
      </c>
      <c r="BJ12" s="961" t="s">
        <v>954</v>
      </c>
      <c r="BK12" s="961" t="s">
        <v>954</v>
      </c>
      <c r="BL12" s="961" t="s">
        <v>954</v>
      </c>
      <c r="BM12" s="961" t="s">
        <v>954</v>
      </c>
      <c r="BN12" s="961" t="s">
        <v>954</v>
      </c>
      <c r="BO12" s="973"/>
      <c r="BP12" s="973"/>
      <c r="BQ12" s="973"/>
      <c r="BR12" s="973"/>
      <c r="BS12" s="973"/>
      <c r="BT12" s="973"/>
      <c r="BU12" s="973"/>
      <c r="BV12" s="973"/>
      <c r="BW12" s="973"/>
      <c r="BX12" s="973"/>
      <c r="BY12" s="973"/>
      <c r="BZ12" s="973"/>
    </row>
    <row r="13" spans="1:78" ht="35.25" customHeight="1">
      <c r="A13" s="950">
        <v>9</v>
      </c>
      <c r="B13" s="951" t="s">
        <v>2285</v>
      </c>
      <c r="C13" s="952">
        <f>'[1]Biểu 9'!AG18</f>
        <v>230</v>
      </c>
      <c r="D13" s="953">
        <f>'[1]Biểu 9'!Q18</f>
        <v>3490.596</v>
      </c>
      <c r="E13" s="954">
        <f t="shared" si="0"/>
        <v>0.15548311804008907</v>
      </c>
      <c r="F13" s="967"/>
      <c r="G13" s="968"/>
      <c r="H13" s="969"/>
      <c r="I13" s="969"/>
      <c r="J13" s="970"/>
      <c r="K13" s="970"/>
      <c r="L13" s="970"/>
      <c r="M13" s="970"/>
      <c r="N13" s="971"/>
      <c r="O13" s="971"/>
      <c r="P13" s="971"/>
      <c r="Q13" s="971"/>
      <c r="R13" s="971"/>
      <c r="S13" s="960"/>
      <c r="T13" s="960" t="s">
        <v>2278</v>
      </c>
      <c r="U13" s="960" t="s">
        <v>2278</v>
      </c>
      <c r="V13" s="960" t="s">
        <v>2278</v>
      </c>
      <c r="W13" s="960" t="s">
        <v>2278</v>
      </c>
      <c r="X13" s="960" t="s">
        <v>2278</v>
      </c>
      <c r="Y13" s="960" t="s">
        <v>2278</v>
      </c>
      <c r="Z13" s="960" t="s">
        <v>2278</v>
      </c>
      <c r="AA13" s="960" t="s">
        <v>2278</v>
      </c>
      <c r="AB13" s="960" t="s">
        <v>2278</v>
      </c>
      <c r="AC13" s="960" t="s">
        <v>2278</v>
      </c>
      <c r="AD13" s="960" t="s">
        <v>2278</v>
      </c>
      <c r="AE13" s="961" t="s">
        <v>954</v>
      </c>
      <c r="AF13" s="961" t="s">
        <v>954</v>
      </c>
      <c r="AG13" s="961" t="s">
        <v>954</v>
      </c>
      <c r="AH13" s="961" t="s">
        <v>954</v>
      </c>
      <c r="AI13" s="961" t="s">
        <v>954</v>
      </c>
      <c r="AJ13" s="961" t="s">
        <v>954</v>
      </c>
      <c r="AK13" s="961" t="s">
        <v>954</v>
      </c>
      <c r="AL13" s="961" t="s">
        <v>954</v>
      </c>
      <c r="AM13" s="961" t="s">
        <v>954</v>
      </c>
      <c r="AN13" s="961" t="s">
        <v>954</v>
      </c>
      <c r="AO13" s="961" t="s">
        <v>954</v>
      </c>
      <c r="AP13" s="961" t="s">
        <v>954</v>
      </c>
      <c r="AQ13" s="961" t="s">
        <v>954</v>
      </c>
      <c r="AR13" s="961" t="s">
        <v>954</v>
      </c>
      <c r="AS13" s="961" t="s">
        <v>954</v>
      </c>
      <c r="AT13" s="961" t="s">
        <v>954</v>
      </c>
      <c r="AU13" s="961" t="s">
        <v>954</v>
      </c>
      <c r="AV13" s="961" t="s">
        <v>954</v>
      </c>
      <c r="AW13" s="961" t="s">
        <v>954</v>
      </c>
      <c r="AX13" s="961" t="s">
        <v>954</v>
      </c>
      <c r="AY13" s="961" t="s">
        <v>954</v>
      </c>
      <c r="AZ13" s="961" t="s">
        <v>954</v>
      </c>
      <c r="BA13" s="961" t="s">
        <v>954</v>
      </c>
      <c r="BB13" s="961" t="s">
        <v>954</v>
      </c>
      <c r="BC13" s="961" t="s">
        <v>954</v>
      </c>
      <c r="BD13" s="961" t="s">
        <v>954</v>
      </c>
      <c r="BE13" s="961" t="s">
        <v>954</v>
      </c>
      <c r="BF13" s="961" t="s">
        <v>954</v>
      </c>
      <c r="BG13" s="961" t="s">
        <v>954</v>
      </c>
      <c r="BH13" s="961" t="s">
        <v>954</v>
      </c>
      <c r="BI13" s="961" t="s">
        <v>954</v>
      </c>
      <c r="BJ13" s="961" t="s">
        <v>954</v>
      </c>
      <c r="BK13" s="961" t="s">
        <v>954</v>
      </c>
      <c r="BL13" s="961" t="s">
        <v>954</v>
      </c>
      <c r="BM13" s="961" t="s">
        <v>954</v>
      </c>
      <c r="BN13" s="961" t="s">
        <v>954</v>
      </c>
      <c r="BO13" s="973"/>
      <c r="BP13" s="973"/>
      <c r="BQ13" s="973"/>
      <c r="BR13" s="973"/>
      <c r="BS13" s="973"/>
      <c r="BT13" s="973"/>
      <c r="BU13" s="973"/>
      <c r="BV13" s="973"/>
      <c r="BW13" s="973"/>
      <c r="BX13" s="973"/>
      <c r="BY13" s="973"/>
      <c r="BZ13" s="973"/>
    </row>
    <row r="14" spans="1:78" ht="35.25" customHeight="1">
      <c r="A14" s="950">
        <v>10</v>
      </c>
      <c r="B14" s="951" t="s">
        <v>2286</v>
      </c>
      <c r="C14" s="952">
        <f>'[1]Biểu 9'!AG19</f>
        <v>602</v>
      </c>
      <c r="D14" s="953">
        <f>'[1]Biểu 9'!Q19</f>
        <v>4816.425</v>
      </c>
      <c r="E14" s="954">
        <f>D14/22450</f>
        <v>0.2145400890868597</v>
      </c>
      <c r="F14" s="967"/>
      <c r="G14" s="968"/>
      <c r="H14" s="969"/>
      <c r="I14" s="969"/>
      <c r="J14" s="970"/>
      <c r="K14" s="970"/>
      <c r="L14" s="970"/>
      <c r="M14" s="970"/>
      <c r="N14" s="971"/>
      <c r="O14" s="971"/>
      <c r="P14" s="971"/>
      <c r="Q14" s="971"/>
      <c r="R14" s="971"/>
      <c r="S14" s="960"/>
      <c r="T14" s="960" t="s">
        <v>2278</v>
      </c>
      <c r="U14" s="960" t="s">
        <v>2278</v>
      </c>
      <c r="V14" s="960" t="s">
        <v>2278</v>
      </c>
      <c r="W14" s="960" t="s">
        <v>2278</v>
      </c>
      <c r="X14" s="960" t="s">
        <v>2278</v>
      </c>
      <c r="Y14" s="960" t="s">
        <v>2278</v>
      </c>
      <c r="Z14" s="960" t="s">
        <v>2278</v>
      </c>
      <c r="AA14" s="960" t="s">
        <v>2278</v>
      </c>
      <c r="AB14" s="960" t="s">
        <v>2278</v>
      </c>
      <c r="AC14" s="960" t="s">
        <v>2278</v>
      </c>
      <c r="AD14" s="960" t="s">
        <v>2278</v>
      </c>
      <c r="AE14" s="961" t="s">
        <v>954</v>
      </c>
      <c r="AF14" s="961" t="s">
        <v>954</v>
      </c>
      <c r="AG14" s="961" t="s">
        <v>954</v>
      </c>
      <c r="AH14" s="961" t="s">
        <v>954</v>
      </c>
      <c r="AI14" s="961" t="s">
        <v>954</v>
      </c>
      <c r="AJ14" s="961" t="s">
        <v>954</v>
      </c>
      <c r="AK14" s="961" t="s">
        <v>954</v>
      </c>
      <c r="AL14" s="961" t="s">
        <v>954</v>
      </c>
      <c r="AM14" s="961" t="s">
        <v>954</v>
      </c>
      <c r="AN14" s="961" t="s">
        <v>954</v>
      </c>
      <c r="AO14" s="961" t="s">
        <v>954</v>
      </c>
      <c r="AP14" s="961" t="s">
        <v>954</v>
      </c>
      <c r="AQ14" s="961" t="s">
        <v>954</v>
      </c>
      <c r="AR14" s="961" t="s">
        <v>954</v>
      </c>
      <c r="AS14" s="961" t="s">
        <v>954</v>
      </c>
      <c r="AT14" s="961" t="s">
        <v>954</v>
      </c>
      <c r="AU14" s="961" t="s">
        <v>954</v>
      </c>
      <c r="AV14" s="961" t="s">
        <v>954</v>
      </c>
      <c r="AW14" s="961" t="s">
        <v>954</v>
      </c>
      <c r="AX14" s="961" t="s">
        <v>954</v>
      </c>
      <c r="AY14" s="961" t="s">
        <v>954</v>
      </c>
      <c r="AZ14" s="961" t="s">
        <v>954</v>
      </c>
      <c r="BA14" s="961" t="s">
        <v>954</v>
      </c>
      <c r="BB14" s="961" t="s">
        <v>954</v>
      </c>
      <c r="BC14" s="961" t="s">
        <v>954</v>
      </c>
      <c r="BD14" s="961" t="s">
        <v>954</v>
      </c>
      <c r="BE14" s="961" t="s">
        <v>954</v>
      </c>
      <c r="BF14" s="961" t="s">
        <v>954</v>
      </c>
      <c r="BG14" s="961" t="s">
        <v>954</v>
      </c>
      <c r="BH14" s="961" t="s">
        <v>954</v>
      </c>
      <c r="BI14" s="961" t="s">
        <v>954</v>
      </c>
      <c r="BJ14" s="961" t="s">
        <v>954</v>
      </c>
      <c r="BK14" s="961" t="s">
        <v>954</v>
      </c>
      <c r="BL14" s="961" t="s">
        <v>954</v>
      </c>
      <c r="BM14" s="961" t="s">
        <v>954</v>
      </c>
      <c r="BN14" s="961" t="s">
        <v>954</v>
      </c>
      <c r="BO14" s="973"/>
      <c r="BP14" s="973"/>
      <c r="BQ14" s="973"/>
      <c r="BR14" s="973"/>
      <c r="BS14" s="973"/>
      <c r="BT14" s="973"/>
      <c r="BU14" s="973"/>
      <c r="BV14" s="973"/>
      <c r="BW14" s="973"/>
      <c r="BX14" s="973"/>
      <c r="BY14" s="973"/>
      <c r="BZ14" s="973"/>
    </row>
    <row r="15" spans="1:78" ht="35.25" customHeight="1">
      <c r="A15" s="950">
        <v>11</v>
      </c>
      <c r="B15" s="951" t="s">
        <v>2287</v>
      </c>
      <c r="C15" s="952">
        <f>'[1]Biểu 9'!AG20</f>
        <v>424</v>
      </c>
      <c r="D15" s="953">
        <f>'[1]Biểu 9'!Q20</f>
        <v>7948.397</v>
      </c>
      <c r="E15" s="954">
        <f>D15/22450</f>
        <v>0.354048864142539</v>
      </c>
      <c r="F15" s="967"/>
      <c r="G15" s="968"/>
      <c r="H15" s="969"/>
      <c r="I15" s="969"/>
      <c r="J15" s="970"/>
      <c r="K15" s="970"/>
      <c r="L15" s="970"/>
      <c r="M15" s="970"/>
      <c r="N15" s="971"/>
      <c r="O15" s="971"/>
      <c r="P15" s="971"/>
      <c r="Q15" s="971"/>
      <c r="R15" s="971"/>
      <c r="S15" s="960"/>
      <c r="T15" s="960" t="s">
        <v>2278</v>
      </c>
      <c r="U15" s="960" t="s">
        <v>2278</v>
      </c>
      <c r="V15" s="960" t="s">
        <v>2278</v>
      </c>
      <c r="W15" s="960" t="s">
        <v>2278</v>
      </c>
      <c r="X15" s="960" t="s">
        <v>2278</v>
      </c>
      <c r="Y15" s="960" t="s">
        <v>2278</v>
      </c>
      <c r="Z15" s="960" t="s">
        <v>2278</v>
      </c>
      <c r="AA15" s="960" t="s">
        <v>2278</v>
      </c>
      <c r="AB15" s="960" t="s">
        <v>2278</v>
      </c>
      <c r="AC15" s="960" t="s">
        <v>2278</v>
      </c>
      <c r="AD15" s="960" t="s">
        <v>2278</v>
      </c>
      <c r="AE15" s="961" t="s">
        <v>954</v>
      </c>
      <c r="AF15" s="961" t="s">
        <v>954</v>
      </c>
      <c r="AG15" s="961" t="s">
        <v>954</v>
      </c>
      <c r="AH15" s="961" t="s">
        <v>954</v>
      </c>
      <c r="AI15" s="961" t="s">
        <v>954</v>
      </c>
      <c r="AJ15" s="961" t="s">
        <v>954</v>
      </c>
      <c r="AK15" s="961" t="s">
        <v>954</v>
      </c>
      <c r="AL15" s="961" t="s">
        <v>954</v>
      </c>
      <c r="AM15" s="961" t="s">
        <v>954</v>
      </c>
      <c r="AN15" s="961" t="s">
        <v>954</v>
      </c>
      <c r="AO15" s="961" t="s">
        <v>954</v>
      </c>
      <c r="AP15" s="961" t="s">
        <v>954</v>
      </c>
      <c r="AQ15" s="961" t="s">
        <v>954</v>
      </c>
      <c r="AR15" s="961" t="s">
        <v>954</v>
      </c>
      <c r="AS15" s="961" t="s">
        <v>954</v>
      </c>
      <c r="AT15" s="961" t="s">
        <v>954</v>
      </c>
      <c r="AU15" s="961" t="s">
        <v>954</v>
      </c>
      <c r="AV15" s="961" t="s">
        <v>954</v>
      </c>
      <c r="AW15" s="961" t="s">
        <v>954</v>
      </c>
      <c r="AX15" s="961" t="s">
        <v>954</v>
      </c>
      <c r="AY15" s="961" t="s">
        <v>954</v>
      </c>
      <c r="AZ15" s="961" t="s">
        <v>954</v>
      </c>
      <c r="BA15" s="961" t="s">
        <v>954</v>
      </c>
      <c r="BB15" s="961" t="s">
        <v>954</v>
      </c>
      <c r="BC15" s="961" t="s">
        <v>954</v>
      </c>
      <c r="BD15" s="961" t="s">
        <v>954</v>
      </c>
      <c r="BE15" s="961" t="s">
        <v>954</v>
      </c>
      <c r="BF15" s="961" t="s">
        <v>954</v>
      </c>
      <c r="BG15" s="961" t="s">
        <v>954</v>
      </c>
      <c r="BH15" s="961" t="s">
        <v>954</v>
      </c>
      <c r="BI15" s="961" t="s">
        <v>954</v>
      </c>
      <c r="BJ15" s="961" t="s">
        <v>954</v>
      </c>
      <c r="BK15" s="961" t="s">
        <v>954</v>
      </c>
      <c r="BL15" s="961" t="s">
        <v>954</v>
      </c>
      <c r="BM15" s="961" t="s">
        <v>954</v>
      </c>
      <c r="BN15" s="961" t="s">
        <v>954</v>
      </c>
      <c r="BO15" s="973"/>
      <c r="BP15" s="973"/>
      <c r="BQ15" s="973"/>
      <c r="BR15" s="973"/>
      <c r="BS15" s="973"/>
      <c r="BT15" s="973"/>
      <c r="BU15" s="973"/>
      <c r="BV15" s="973"/>
      <c r="BW15" s="973"/>
      <c r="BX15" s="973"/>
      <c r="BY15" s="973"/>
      <c r="BZ15" s="973"/>
    </row>
    <row r="16" spans="1:78" ht="35.25" customHeight="1">
      <c r="A16" s="974">
        <v>12</v>
      </c>
      <c r="B16" s="975" t="s">
        <v>2288</v>
      </c>
      <c r="C16" s="976">
        <f>'[1]Biểu 9'!AH21</f>
        <v>486</v>
      </c>
      <c r="D16" s="977">
        <f>'[1]Biểu 9'!Q21</f>
        <v>6945.966</v>
      </c>
      <c r="E16" s="954">
        <f t="shared" si="0"/>
        <v>0.30939714922049</v>
      </c>
      <c r="F16" s="978"/>
      <c r="G16" s="979"/>
      <c r="H16" s="970"/>
      <c r="I16" s="970"/>
      <c r="J16" s="970"/>
      <c r="K16" s="970"/>
      <c r="L16" s="970"/>
      <c r="M16" s="970"/>
      <c r="N16" s="971"/>
      <c r="O16" s="971"/>
      <c r="P16" s="971"/>
      <c r="Q16" s="971"/>
      <c r="R16" s="971"/>
      <c r="S16" s="960"/>
      <c r="T16" s="960" t="s">
        <v>2278</v>
      </c>
      <c r="U16" s="960" t="s">
        <v>2278</v>
      </c>
      <c r="V16" s="960" t="s">
        <v>2278</v>
      </c>
      <c r="W16" s="960" t="s">
        <v>2278</v>
      </c>
      <c r="X16" s="960" t="s">
        <v>2278</v>
      </c>
      <c r="Y16" s="960" t="s">
        <v>2278</v>
      </c>
      <c r="Z16" s="960" t="s">
        <v>2278</v>
      </c>
      <c r="AA16" s="960" t="s">
        <v>2278</v>
      </c>
      <c r="AB16" s="960" t="s">
        <v>2278</v>
      </c>
      <c r="AC16" s="960" t="s">
        <v>2278</v>
      </c>
      <c r="AD16" s="960" t="s">
        <v>2278</v>
      </c>
      <c r="AE16" s="960" t="s">
        <v>2278</v>
      </c>
      <c r="AF16" s="960" t="s">
        <v>2278</v>
      </c>
      <c r="AG16" s="960" t="s">
        <v>2278</v>
      </c>
      <c r="AH16" s="960" t="s">
        <v>2278</v>
      </c>
      <c r="AI16" s="960" t="s">
        <v>2278</v>
      </c>
      <c r="AJ16" s="960" t="s">
        <v>2278</v>
      </c>
      <c r="AK16" s="961" t="s">
        <v>954</v>
      </c>
      <c r="AL16" s="961" t="s">
        <v>954</v>
      </c>
      <c r="AM16" s="961" t="s">
        <v>954</v>
      </c>
      <c r="AN16" s="961" t="s">
        <v>954</v>
      </c>
      <c r="AO16" s="961" t="s">
        <v>954</v>
      </c>
      <c r="AP16" s="961" t="s">
        <v>954</v>
      </c>
      <c r="AQ16" s="961" t="s">
        <v>954</v>
      </c>
      <c r="AR16" s="961" t="s">
        <v>954</v>
      </c>
      <c r="AS16" s="961" t="s">
        <v>954</v>
      </c>
      <c r="AT16" s="961" t="s">
        <v>954</v>
      </c>
      <c r="AU16" s="961" t="s">
        <v>954</v>
      </c>
      <c r="AV16" s="961" t="s">
        <v>954</v>
      </c>
      <c r="AW16" s="961" t="s">
        <v>954</v>
      </c>
      <c r="AX16" s="961" t="s">
        <v>954</v>
      </c>
      <c r="AY16" s="961" t="s">
        <v>954</v>
      </c>
      <c r="AZ16" s="961" t="s">
        <v>954</v>
      </c>
      <c r="BA16" s="961" t="s">
        <v>954</v>
      </c>
      <c r="BB16" s="961" t="s">
        <v>954</v>
      </c>
      <c r="BC16" s="961" t="s">
        <v>954</v>
      </c>
      <c r="BD16" s="961" t="s">
        <v>954</v>
      </c>
      <c r="BE16" s="961" t="s">
        <v>954</v>
      </c>
      <c r="BF16" s="961" t="s">
        <v>954</v>
      </c>
      <c r="BG16" s="961" t="s">
        <v>954</v>
      </c>
      <c r="BH16" s="961" t="s">
        <v>954</v>
      </c>
      <c r="BI16" s="961" t="s">
        <v>954</v>
      </c>
      <c r="BJ16" s="961" t="s">
        <v>954</v>
      </c>
      <c r="BK16" s="961" t="s">
        <v>954</v>
      </c>
      <c r="BL16" s="961" t="s">
        <v>954</v>
      </c>
      <c r="BM16" s="961" t="s">
        <v>954</v>
      </c>
      <c r="BN16" s="961" t="s">
        <v>954</v>
      </c>
      <c r="BO16" s="980"/>
      <c r="BP16" s="980"/>
      <c r="BQ16" s="980"/>
      <c r="BR16" s="980"/>
      <c r="BS16" s="980"/>
      <c r="BT16" s="980"/>
      <c r="BU16" s="980"/>
      <c r="BV16" s="980"/>
      <c r="BW16" s="980"/>
      <c r="BX16" s="980"/>
      <c r="BY16" s="980"/>
      <c r="BZ16" s="980"/>
    </row>
    <row r="17" spans="1:78" ht="35.25" customHeight="1">
      <c r="A17" s="950">
        <v>13</v>
      </c>
      <c r="B17" s="951" t="s">
        <v>2289</v>
      </c>
      <c r="C17" s="952">
        <f>'[1]Biểu 9'!AI22</f>
        <v>165</v>
      </c>
      <c r="D17" s="953">
        <f>'[1]Biểu 9'!Q22</f>
        <v>1713.73</v>
      </c>
      <c r="E17" s="954">
        <f t="shared" si="0"/>
        <v>0.07633541202672606</v>
      </c>
      <c r="F17" s="967"/>
      <c r="G17" s="968"/>
      <c r="H17" s="969"/>
      <c r="I17" s="969"/>
      <c r="J17" s="970"/>
      <c r="K17" s="970"/>
      <c r="L17" s="970"/>
      <c r="M17" s="970"/>
      <c r="N17" s="970"/>
      <c r="O17" s="970"/>
      <c r="P17" s="970"/>
      <c r="Q17" s="970"/>
      <c r="R17" s="970"/>
      <c r="S17" s="960"/>
      <c r="T17" s="960"/>
      <c r="U17" s="960"/>
      <c r="V17" s="960"/>
      <c r="W17" s="960"/>
      <c r="X17" s="960"/>
      <c r="Y17" s="960"/>
      <c r="Z17" s="960"/>
      <c r="AA17" s="960"/>
      <c r="AB17" s="960"/>
      <c r="AC17" s="960"/>
      <c r="AD17" s="960"/>
      <c r="AE17" s="961"/>
      <c r="AF17" s="961"/>
      <c r="AG17" s="961"/>
      <c r="AH17" s="961"/>
      <c r="AI17" s="961"/>
      <c r="AJ17" s="961"/>
      <c r="AK17" s="961"/>
      <c r="AL17" s="961"/>
      <c r="AM17" s="961"/>
      <c r="AN17" s="961"/>
      <c r="AO17" s="961"/>
      <c r="AP17" s="961"/>
      <c r="AQ17" s="961"/>
      <c r="AR17" s="961"/>
      <c r="AS17" s="981" t="s">
        <v>2278</v>
      </c>
      <c r="AT17" s="981" t="s">
        <v>2278</v>
      </c>
      <c r="AU17" s="981" t="s">
        <v>2278</v>
      </c>
      <c r="AV17" s="981" t="s">
        <v>2278</v>
      </c>
      <c r="AW17" s="981" t="s">
        <v>2278</v>
      </c>
      <c r="AX17" s="981" t="s">
        <v>2278</v>
      </c>
      <c r="AY17" s="981" t="s">
        <v>2278</v>
      </c>
      <c r="AZ17" s="981" t="s">
        <v>2278</v>
      </c>
      <c r="BA17" s="981" t="s">
        <v>2278</v>
      </c>
      <c r="BB17" s="981" t="s">
        <v>2278</v>
      </c>
      <c r="BC17" s="961" t="s">
        <v>954</v>
      </c>
      <c r="BD17" s="961" t="s">
        <v>954</v>
      </c>
      <c r="BE17" s="961" t="s">
        <v>954</v>
      </c>
      <c r="BF17" s="961" t="s">
        <v>954</v>
      </c>
      <c r="BG17" s="961" t="s">
        <v>954</v>
      </c>
      <c r="BH17" s="961" t="s">
        <v>954</v>
      </c>
      <c r="BI17" s="961" t="s">
        <v>954</v>
      </c>
      <c r="BJ17" s="961" t="s">
        <v>954</v>
      </c>
      <c r="BK17" s="961" t="s">
        <v>954</v>
      </c>
      <c r="BL17" s="961" t="s">
        <v>954</v>
      </c>
      <c r="BM17" s="961" t="s">
        <v>954</v>
      </c>
      <c r="BN17" s="961" t="s">
        <v>954</v>
      </c>
      <c r="BO17" s="961" t="s">
        <v>954</v>
      </c>
      <c r="BP17" s="961" t="s">
        <v>954</v>
      </c>
      <c r="BQ17" s="961" t="s">
        <v>954</v>
      </c>
      <c r="BR17" s="961" t="s">
        <v>954</v>
      </c>
      <c r="BS17" s="961" t="s">
        <v>954</v>
      </c>
      <c r="BT17" s="961" t="s">
        <v>954</v>
      </c>
      <c r="BU17" s="961" t="s">
        <v>954</v>
      </c>
      <c r="BV17" s="961" t="s">
        <v>954</v>
      </c>
      <c r="BW17" s="961" t="s">
        <v>954</v>
      </c>
      <c r="BX17" s="961" t="s">
        <v>954</v>
      </c>
      <c r="BY17" s="961" t="s">
        <v>954</v>
      </c>
      <c r="BZ17" s="961" t="s">
        <v>954</v>
      </c>
    </row>
    <row r="18" spans="1:78" ht="35.25" customHeight="1">
      <c r="A18" s="950">
        <v>14</v>
      </c>
      <c r="B18" s="951" t="s">
        <v>2290</v>
      </c>
      <c r="C18" s="952">
        <f>'[1]Biểu 9'!AI23</f>
        <v>438</v>
      </c>
      <c r="D18" s="953">
        <f>'[1]Biểu 9'!Q23</f>
        <v>4363.83</v>
      </c>
      <c r="E18" s="954">
        <f t="shared" si="0"/>
        <v>0.19437995545657016</v>
      </c>
      <c r="F18" s="967"/>
      <c r="G18" s="968"/>
      <c r="H18" s="969"/>
      <c r="I18" s="969"/>
      <c r="J18" s="970"/>
      <c r="K18" s="970"/>
      <c r="L18" s="970"/>
      <c r="M18" s="970"/>
      <c r="N18" s="970"/>
      <c r="O18" s="970"/>
      <c r="P18" s="970"/>
      <c r="Q18" s="970"/>
      <c r="R18" s="970"/>
      <c r="S18" s="960"/>
      <c r="T18" s="960"/>
      <c r="U18" s="960"/>
      <c r="V18" s="960"/>
      <c r="W18" s="960"/>
      <c r="X18" s="960"/>
      <c r="Y18" s="960"/>
      <c r="Z18" s="960"/>
      <c r="AA18" s="960"/>
      <c r="AB18" s="960"/>
      <c r="AC18" s="960"/>
      <c r="AD18" s="960"/>
      <c r="AE18" s="961"/>
      <c r="AF18" s="961"/>
      <c r="AG18" s="961"/>
      <c r="AH18" s="961"/>
      <c r="AI18" s="961"/>
      <c r="AJ18" s="961"/>
      <c r="AK18" s="961"/>
      <c r="AL18" s="961"/>
      <c r="AM18" s="961"/>
      <c r="AN18" s="961"/>
      <c r="AO18" s="961"/>
      <c r="AP18" s="961"/>
      <c r="AQ18" s="961"/>
      <c r="AR18" s="961"/>
      <c r="AS18" s="981" t="s">
        <v>2278</v>
      </c>
      <c r="AT18" s="981" t="s">
        <v>2278</v>
      </c>
      <c r="AU18" s="981" t="s">
        <v>2278</v>
      </c>
      <c r="AV18" s="981" t="s">
        <v>2278</v>
      </c>
      <c r="AW18" s="981" t="s">
        <v>2278</v>
      </c>
      <c r="AX18" s="981" t="s">
        <v>2278</v>
      </c>
      <c r="AY18" s="981" t="s">
        <v>2278</v>
      </c>
      <c r="AZ18" s="981" t="s">
        <v>2278</v>
      </c>
      <c r="BA18" s="981" t="s">
        <v>2278</v>
      </c>
      <c r="BB18" s="981" t="s">
        <v>2278</v>
      </c>
      <c r="BC18" s="961" t="s">
        <v>954</v>
      </c>
      <c r="BD18" s="961" t="s">
        <v>954</v>
      </c>
      <c r="BE18" s="961" t="s">
        <v>954</v>
      </c>
      <c r="BF18" s="961" t="s">
        <v>954</v>
      </c>
      <c r="BG18" s="961" t="s">
        <v>954</v>
      </c>
      <c r="BH18" s="961" t="s">
        <v>954</v>
      </c>
      <c r="BI18" s="961" t="s">
        <v>954</v>
      </c>
      <c r="BJ18" s="961" t="s">
        <v>954</v>
      </c>
      <c r="BK18" s="961" t="s">
        <v>954</v>
      </c>
      <c r="BL18" s="961" t="s">
        <v>954</v>
      </c>
      <c r="BM18" s="961" t="s">
        <v>954</v>
      </c>
      <c r="BN18" s="961" t="s">
        <v>954</v>
      </c>
      <c r="BO18" s="961" t="s">
        <v>954</v>
      </c>
      <c r="BP18" s="961" t="s">
        <v>954</v>
      </c>
      <c r="BQ18" s="961" t="s">
        <v>954</v>
      </c>
      <c r="BR18" s="961" t="s">
        <v>954</v>
      </c>
      <c r="BS18" s="961" t="s">
        <v>954</v>
      </c>
      <c r="BT18" s="961" t="s">
        <v>954</v>
      </c>
      <c r="BU18" s="961" t="s">
        <v>954</v>
      </c>
      <c r="BV18" s="961" t="s">
        <v>954</v>
      </c>
      <c r="BW18" s="961" t="s">
        <v>954</v>
      </c>
      <c r="BX18" s="961" t="s">
        <v>954</v>
      </c>
      <c r="BY18" s="961" t="s">
        <v>954</v>
      </c>
      <c r="BZ18" s="961" t="s">
        <v>954</v>
      </c>
    </row>
    <row r="19" spans="1:78" ht="35.25" customHeight="1">
      <c r="A19" s="950">
        <v>15</v>
      </c>
      <c r="B19" s="951" t="s">
        <v>2291</v>
      </c>
      <c r="C19" s="952">
        <f>'[1]Biểu 9'!AI33</f>
        <v>419</v>
      </c>
      <c r="D19" s="953">
        <f>'[1]Biểu 9'!Q33</f>
        <v>7492.05</v>
      </c>
      <c r="E19" s="954">
        <f t="shared" si="0"/>
        <v>0.3337216035634744</v>
      </c>
      <c r="F19" s="967"/>
      <c r="G19" s="968"/>
      <c r="H19" s="969"/>
      <c r="I19" s="969"/>
      <c r="J19" s="970"/>
      <c r="K19" s="970"/>
      <c r="L19" s="970"/>
      <c r="M19" s="970"/>
      <c r="N19" s="970"/>
      <c r="O19" s="970"/>
      <c r="P19" s="970"/>
      <c r="Q19" s="970"/>
      <c r="R19" s="970"/>
      <c r="S19" s="982"/>
      <c r="T19" s="982"/>
      <c r="U19" s="983"/>
      <c r="V19" s="983"/>
      <c r="W19" s="983"/>
      <c r="X19" s="983"/>
      <c r="Y19" s="983"/>
      <c r="Z19" s="983"/>
      <c r="AA19" s="983"/>
      <c r="AB19" s="983"/>
      <c r="AC19" s="983"/>
      <c r="AD19" s="983"/>
      <c r="AE19" s="983"/>
      <c r="AF19" s="983"/>
      <c r="AG19" s="983"/>
      <c r="AH19" s="983"/>
      <c r="AI19" s="983"/>
      <c r="AJ19" s="983"/>
      <c r="AK19" s="983"/>
      <c r="AL19" s="983"/>
      <c r="AM19" s="960"/>
      <c r="AN19" s="960"/>
      <c r="AO19" s="960"/>
      <c r="AP19" s="960"/>
      <c r="AQ19" s="960"/>
      <c r="AR19" s="960"/>
      <c r="AS19" s="981" t="s">
        <v>2278</v>
      </c>
      <c r="AT19" s="981" t="s">
        <v>2278</v>
      </c>
      <c r="AU19" s="981" t="s">
        <v>2278</v>
      </c>
      <c r="AV19" s="981" t="s">
        <v>2278</v>
      </c>
      <c r="AW19" s="981" t="s">
        <v>2278</v>
      </c>
      <c r="AX19" s="981" t="s">
        <v>2278</v>
      </c>
      <c r="AY19" s="981" t="s">
        <v>2278</v>
      </c>
      <c r="AZ19" s="981" t="s">
        <v>2278</v>
      </c>
      <c r="BA19" s="981" t="s">
        <v>2278</v>
      </c>
      <c r="BB19" s="981" t="s">
        <v>2278</v>
      </c>
      <c r="BC19" s="961" t="s">
        <v>954</v>
      </c>
      <c r="BD19" s="961" t="s">
        <v>954</v>
      </c>
      <c r="BE19" s="961" t="s">
        <v>954</v>
      </c>
      <c r="BF19" s="961" t="s">
        <v>954</v>
      </c>
      <c r="BG19" s="961" t="s">
        <v>954</v>
      </c>
      <c r="BH19" s="961" t="s">
        <v>954</v>
      </c>
      <c r="BI19" s="961" t="s">
        <v>954</v>
      </c>
      <c r="BJ19" s="961" t="s">
        <v>954</v>
      </c>
      <c r="BK19" s="961" t="s">
        <v>954</v>
      </c>
      <c r="BL19" s="961" t="s">
        <v>954</v>
      </c>
      <c r="BM19" s="961" t="s">
        <v>954</v>
      </c>
      <c r="BN19" s="961" t="s">
        <v>954</v>
      </c>
      <c r="BO19" s="961" t="s">
        <v>954</v>
      </c>
      <c r="BP19" s="961" t="s">
        <v>954</v>
      </c>
      <c r="BQ19" s="961" t="s">
        <v>954</v>
      </c>
      <c r="BR19" s="961" t="s">
        <v>954</v>
      </c>
      <c r="BS19" s="961" t="s">
        <v>954</v>
      </c>
      <c r="BT19" s="961" t="s">
        <v>954</v>
      </c>
      <c r="BU19" s="961" t="s">
        <v>954</v>
      </c>
      <c r="BV19" s="961" t="s">
        <v>954</v>
      </c>
      <c r="BW19" s="961" t="s">
        <v>954</v>
      </c>
      <c r="BX19" s="961" t="s">
        <v>954</v>
      </c>
      <c r="BY19" s="961" t="s">
        <v>954</v>
      </c>
      <c r="BZ19" s="961" t="s">
        <v>954</v>
      </c>
    </row>
    <row r="20" spans="1:78" ht="35.25" customHeight="1">
      <c r="A20" s="950">
        <v>16</v>
      </c>
      <c r="B20" s="951" t="s">
        <v>2292</v>
      </c>
      <c r="C20" s="952">
        <f>'[1]Biểu 9'!AI24</f>
        <v>175</v>
      </c>
      <c r="D20" s="953">
        <f>'[1]Biểu 9'!Q24</f>
        <v>2780.9939999999997</v>
      </c>
      <c r="E20" s="954">
        <f t="shared" si="0"/>
        <v>0.12387501113585744</v>
      </c>
      <c r="F20" s="972"/>
      <c r="G20" s="968"/>
      <c r="H20" s="969"/>
      <c r="I20" s="969"/>
      <c r="J20" s="970"/>
      <c r="K20" s="970"/>
      <c r="L20" s="970"/>
      <c r="M20" s="970"/>
      <c r="N20" s="970"/>
      <c r="O20" s="970"/>
      <c r="P20" s="970"/>
      <c r="Q20" s="970"/>
      <c r="R20" s="970"/>
      <c r="S20" s="982"/>
      <c r="T20" s="982"/>
      <c r="U20" s="983"/>
      <c r="V20" s="983"/>
      <c r="W20" s="983"/>
      <c r="X20" s="983"/>
      <c r="Y20" s="983"/>
      <c r="Z20" s="983"/>
      <c r="AA20" s="983"/>
      <c r="AB20" s="983"/>
      <c r="AC20" s="982"/>
      <c r="AD20" s="983"/>
      <c r="AE20" s="983"/>
      <c r="AF20" s="983"/>
      <c r="AG20" s="983"/>
      <c r="AH20" s="983"/>
      <c r="AI20" s="983"/>
      <c r="AJ20" s="983"/>
      <c r="AK20" s="983"/>
      <c r="AL20" s="983"/>
      <c r="AM20" s="960"/>
      <c r="AN20" s="960"/>
      <c r="AO20" s="960"/>
      <c r="AP20" s="960"/>
      <c r="AQ20" s="960"/>
      <c r="AR20" s="960"/>
      <c r="AS20" s="981" t="s">
        <v>2278</v>
      </c>
      <c r="AT20" s="981" t="s">
        <v>2278</v>
      </c>
      <c r="AU20" s="981" t="s">
        <v>2278</v>
      </c>
      <c r="AV20" s="981" t="s">
        <v>2278</v>
      </c>
      <c r="AW20" s="981" t="s">
        <v>2278</v>
      </c>
      <c r="AX20" s="981" t="s">
        <v>2278</v>
      </c>
      <c r="AY20" s="981" t="s">
        <v>2278</v>
      </c>
      <c r="AZ20" s="981" t="s">
        <v>2278</v>
      </c>
      <c r="BA20" s="981" t="s">
        <v>2278</v>
      </c>
      <c r="BB20" s="981" t="s">
        <v>2278</v>
      </c>
      <c r="BC20" s="961" t="s">
        <v>954</v>
      </c>
      <c r="BD20" s="961" t="s">
        <v>954</v>
      </c>
      <c r="BE20" s="961" t="s">
        <v>954</v>
      </c>
      <c r="BF20" s="961" t="s">
        <v>954</v>
      </c>
      <c r="BG20" s="961" t="s">
        <v>954</v>
      </c>
      <c r="BH20" s="961" t="s">
        <v>954</v>
      </c>
      <c r="BI20" s="961" t="s">
        <v>954</v>
      </c>
      <c r="BJ20" s="961" t="s">
        <v>954</v>
      </c>
      <c r="BK20" s="961" t="s">
        <v>954</v>
      </c>
      <c r="BL20" s="961" t="s">
        <v>954</v>
      </c>
      <c r="BM20" s="961" t="s">
        <v>954</v>
      </c>
      <c r="BN20" s="961" t="s">
        <v>954</v>
      </c>
      <c r="BO20" s="961" t="s">
        <v>954</v>
      </c>
      <c r="BP20" s="961" t="s">
        <v>954</v>
      </c>
      <c r="BQ20" s="961" t="s">
        <v>954</v>
      </c>
      <c r="BR20" s="961" t="s">
        <v>954</v>
      </c>
      <c r="BS20" s="961" t="s">
        <v>954</v>
      </c>
      <c r="BT20" s="961" t="s">
        <v>954</v>
      </c>
      <c r="BU20" s="961" t="s">
        <v>954</v>
      </c>
      <c r="BV20" s="961" t="s">
        <v>954</v>
      </c>
      <c r="BW20" s="961" t="s">
        <v>954</v>
      </c>
      <c r="BX20" s="961" t="s">
        <v>954</v>
      </c>
      <c r="BY20" s="961" t="s">
        <v>954</v>
      </c>
      <c r="BZ20" s="961" t="s">
        <v>954</v>
      </c>
    </row>
    <row r="21" spans="1:78" ht="35.25" customHeight="1">
      <c r="A21" s="950">
        <v>17</v>
      </c>
      <c r="B21" s="951" t="s">
        <v>2293</v>
      </c>
      <c r="C21" s="952">
        <f>'[1]Biểu 9'!AI25+'[1]Biểu 9'!AJ25</f>
        <v>148</v>
      </c>
      <c r="D21" s="953">
        <f>'[1]Biểu 9'!Q25</f>
        <v>4816.186</v>
      </c>
      <c r="E21" s="954">
        <f t="shared" si="0"/>
        <v>0.21452944320712694</v>
      </c>
      <c r="F21" s="967"/>
      <c r="G21" s="968"/>
      <c r="H21" s="969"/>
      <c r="I21" s="969"/>
      <c r="J21" s="970"/>
      <c r="K21" s="970"/>
      <c r="L21" s="970"/>
      <c r="M21" s="970"/>
      <c r="N21" s="970"/>
      <c r="O21" s="970"/>
      <c r="P21" s="970"/>
      <c r="Q21" s="970"/>
      <c r="R21" s="970"/>
      <c r="S21" s="982"/>
      <c r="T21" s="982"/>
      <c r="U21" s="983"/>
      <c r="V21" s="983"/>
      <c r="W21" s="983"/>
      <c r="X21" s="983"/>
      <c r="Y21" s="983"/>
      <c r="Z21" s="983"/>
      <c r="AA21" s="983"/>
      <c r="AB21" s="983"/>
      <c r="AC21" s="983"/>
      <c r="AD21" s="983"/>
      <c r="AE21" s="983"/>
      <c r="AF21" s="983"/>
      <c r="AG21" s="983"/>
      <c r="AH21" s="983"/>
      <c r="AI21" s="983"/>
      <c r="AJ21" s="983"/>
      <c r="AK21" s="983"/>
      <c r="AL21" s="983"/>
      <c r="AM21" s="960"/>
      <c r="AN21" s="960"/>
      <c r="AO21" s="960"/>
      <c r="AP21" s="960"/>
      <c r="AQ21" s="960"/>
      <c r="AR21" s="960"/>
      <c r="AS21" s="981" t="s">
        <v>2278</v>
      </c>
      <c r="AT21" s="981" t="s">
        <v>2278</v>
      </c>
      <c r="AU21" s="981" t="s">
        <v>2278</v>
      </c>
      <c r="AV21" s="981" t="s">
        <v>2278</v>
      </c>
      <c r="AW21" s="981" t="s">
        <v>2278</v>
      </c>
      <c r="AX21" s="981" t="s">
        <v>2278</v>
      </c>
      <c r="AY21" s="981" t="s">
        <v>2278</v>
      </c>
      <c r="AZ21" s="981" t="s">
        <v>2278</v>
      </c>
      <c r="BA21" s="981" t="s">
        <v>2278</v>
      </c>
      <c r="BB21" s="981" t="s">
        <v>2278</v>
      </c>
      <c r="BC21" s="961" t="s">
        <v>954</v>
      </c>
      <c r="BD21" s="961" t="s">
        <v>954</v>
      </c>
      <c r="BE21" s="961" t="s">
        <v>954</v>
      </c>
      <c r="BF21" s="961" t="s">
        <v>954</v>
      </c>
      <c r="BG21" s="961" t="s">
        <v>954</v>
      </c>
      <c r="BH21" s="961" t="s">
        <v>954</v>
      </c>
      <c r="BI21" s="961" t="s">
        <v>954</v>
      </c>
      <c r="BJ21" s="961" t="s">
        <v>954</v>
      </c>
      <c r="BK21" s="961" t="s">
        <v>954</v>
      </c>
      <c r="BL21" s="961" t="s">
        <v>954</v>
      </c>
      <c r="BM21" s="961" t="s">
        <v>954</v>
      </c>
      <c r="BN21" s="961" t="s">
        <v>954</v>
      </c>
      <c r="BO21" s="961" t="s">
        <v>954</v>
      </c>
      <c r="BP21" s="961" t="s">
        <v>954</v>
      </c>
      <c r="BQ21" s="961" t="s">
        <v>954</v>
      </c>
      <c r="BR21" s="961" t="s">
        <v>954</v>
      </c>
      <c r="BS21" s="961" t="s">
        <v>954</v>
      </c>
      <c r="BT21" s="961" t="s">
        <v>954</v>
      </c>
      <c r="BU21" s="961" t="s">
        <v>954</v>
      </c>
      <c r="BV21" s="961" t="s">
        <v>954</v>
      </c>
      <c r="BW21" s="961" t="s">
        <v>954</v>
      </c>
      <c r="BX21" s="961" t="s">
        <v>954</v>
      </c>
      <c r="BY21" s="961" t="s">
        <v>954</v>
      </c>
      <c r="BZ21" s="961" t="s">
        <v>954</v>
      </c>
    </row>
    <row r="22" spans="1:78" ht="35.25" customHeight="1">
      <c r="A22" s="950">
        <v>18</v>
      </c>
      <c r="B22" s="951" t="s">
        <v>2294</v>
      </c>
      <c r="C22" s="952">
        <f>'[1]Biểu 9'!AI26</f>
        <v>315</v>
      </c>
      <c r="D22" s="953">
        <f>'[1]Biểu 9'!Q26</f>
        <v>3295.324</v>
      </c>
      <c r="E22" s="954">
        <f t="shared" si="0"/>
        <v>0.14678503340757237</v>
      </c>
      <c r="F22" s="967"/>
      <c r="G22" s="968"/>
      <c r="H22" s="969"/>
      <c r="I22" s="969"/>
      <c r="J22" s="970"/>
      <c r="K22" s="970"/>
      <c r="L22" s="970"/>
      <c r="M22" s="970"/>
      <c r="N22" s="970"/>
      <c r="O22" s="970"/>
      <c r="P22" s="970"/>
      <c r="Q22" s="970"/>
      <c r="R22" s="970"/>
      <c r="S22" s="982"/>
      <c r="T22" s="982"/>
      <c r="U22" s="983"/>
      <c r="V22" s="983"/>
      <c r="W22" s="983"/>
      <c r="X22" s="983"/>
      <c r="Y22" s="983"/>
      <c r="Z22" s="983"/>
      <c r="AA22" s="983"/>
      <c r="AB22" s="983"/>
      <c r="AC22" s="983"/>
      <c r="AD22" s="982"/>
      <c r="AE22" s="983"/>
      <c r="AF22" s="983"/>
      <c r="AG22" s="983"/>
      <c r="AH22" s="983"/>
      <c r="AI22" s="983"/>
      <c r="AJ22" s="983"/>
      <c r="AK22" s="983"/>
      <c r="AL22" s="983"/>
      <c r="AM22" s="960"/>
      <c r="AN22" s="960"/>
      <c r="AO22" s="960"/>
      <c r="AP22" s="960"/>
      <c r="AQ22" s="960"/>
      <c r="AR22" s="960"/>
      <c r="AS22" s="981" t="s">
        <v>2278</v>
      </c>
      <c r="AT22" s="981" t="s">
        <v>2278</v>
      </c>
      <c r="AU22" s="981" t="s">
        <v>2278</v>
      </c>
      <c r="AV22" s="981" t="s">
        <v>2278</v>
      </c>
      <c r="AW22" s="981" t="s">
        <v>2278</v>
      </c>
      <c r="AX22" s="981" t="s">
        <v>2278</v>
      </c>
      <c r="AY22" s="981" t="s">
        <v>2278</v>
      </c>
      <c r="AZ22" s="981" t="s">
        <v>2278</v>
      </c>
      <c r="BA22" s="981" t="s">
        <v>2278</v>
      </c>
      <c r="BB22" s="981" t="s">
        <v>2278</v>
      </c>
      <c r="BC22" s="961" t="s">
        <v>954</v>
      </c>
      <c r="BD22" s="961" t="s">
        <v>954</v>
      </c>
      <c r="BE22" s="961" t="s">
        <v>954</v>
      </c>
      <c r="BF22" s="961" t="s">
        <v>954</v>
      </c>
      <c r="BG22" s="961" t="s">
        <v>954</v>
      </c>
      <c r="BH22" s="961" t="s">
        <v>954</v>
      </c>
      <c r="BI22" s="961" t="s">
        <v>954</v>
      </c>
      <c r="BJ22" s="961" t="s">
        <v>954</v>
      </c>
      <c r="BK22" s="961" t="s">
        <v>954</v>
      </c>
      <c r="BL22" s="961" t="s">
        <v>954</v>
      </c>
      <c r="BM22" s="961" t="s">
        <v>954</v>
      </c>
      <c r="BN22" s="961" t="s">
        <v>954</v>
      </c>
      <c r="BO22" s="961" t="s">
        <v>954</v>
      </c>
      <c r="BP22" s="961" t="s">
        <v>954</v>
      </c>
      <c r="BQ22" s="961" t="s">
        <v>954</v>
      </c>
      <c r="BR22" s="961" t="s">
        <v>954</v>
      </c>
      <c r="BS22" s="961" t="s">
        <v>954</v>
      </c>
      <c r="BT22" s="961" t="s">
        <v>954</v>
      </c>
      <c r="BU22" s="961" t="s">
        <v>954</v>
      </c>
      <c r="BV22" s="961" t="s">
        <v>954</v>
      </c>
      <c r="BW22" s="961" t="s">
        <v>954</v>
      </c>
      <c r="BX22" s="961" t="s">
        <v>954</v>
      </c>
      <c r="BY22" s="961" t="s">
        <v>954</v>
      </c>
      <c r="BZ22" s="961" t="s">
        <v>954</v>
      </c>
    </row>
    <row r="23" spans="1:78" ht="35.25" customHeight="1">
      <c r="A23" s="974">
        <v>19</v>
      </c>
      <c r="B23" s="975" t="s">
        <v>2295</v>
      </c>
      <c r="C23" s="976">
        <f>'[1]Biểu 9'!AI27</f>
        <v>391</v>
      </c>
      <c r="D23" s="977">
        <f>'[1]Biểu 9'!Q27</f>
        <v>4222.68</v>
      </c>
      <c r="E23" s="954">
        <f t="shared" si="0"/>
        <v>0.18809265033407574</v>
      </c>
      <c r="F23" s="978"/>
      <c r="G23" s="979"/>
      <c r="H23" s="970"/>
      <c r="I23" s="970"/>
      <c r="J23" s="970"/>
      <c r="K23" s="970"/>
      <c r="L23" s="970"/>
      <c r="M23" s="970"/>
      <c r="N23" s="970"/>
      <c r="O23" s="970"/>
      <c r="P23" s="970"/>
      <c r="Q23" s="970"/>
      <c r="R23" s="970"/>
      <c r="S23" s="984"/>
      <c r="T23" s="984"/>
      <c r="U23" s="985"/>
      <c r="V23" s="985"/>
      <c r="W23" s="985"/>
      <c r="X23" s="985"/>
      <c r="Y23" s="985"/>
      <c r="Z23" s="985"/>
      <c r="AA23" s="971"/>
      <c r="AB23" s="971"/>
      <c r="AC23" s="971"/>
      <c r="AD23" s="971"/>
      <c r="AE23" s="971"/>
      <c r="AF23" s="971"/>
      <c r="AG23" s="971"/>
      <c r="AH23" s="971"/>
      <c r="AI23" s="971"/>
      <c r="AJ23" s="971"/>
      <c r="AK23" s="971"/>
      <c r="AL23" s="985"/>
      <c r="AM23" s="971"/>
      <c r="AN23" s="971"/>
      <c r="AO23" s="971"/>
      <c r="AP23" s="971"/>
      <c r="AQ23" s="971"/>
      <c r="AR23" s="971"/>
      <c r="AS23" s="981" t="s">
        <v>2278</v>
      </c>
      <c r="AT23" s="981" t="s">
        <v>2278</v>
      </c>
      <c r="AU23" s="981" t="s">
        <v>2278</v>
      </c>
      <c r="AV23" s="981" t="s">
        <v>2278</v>
      </c>
      <c r="AW23" s="981" t="s">
        <v>2278</v>
      </c>
      <c r="AX23" s="981" t="s">
        <v>2278</v>
      </c>
      <c r="AY23" s="981" t="s">
        <v>2278</v>
      </c>
      <c r="AZ23" s="981" t="s">
        <v>2278</v>
      </c>
      <c r="BA23" s="981" t="s">
        <v>2278</v>
      </c>
      <c r="BB23" s="981" t="s">
        <v>2278</v>
      </c>
      <c r="BC23" s="961" t="s">
        <v>954</v>
      </c>
      <c r="BD23" s="961" t="s">
        <v>954</v>
      </c>
      <c r="BE23" s="961" t="s">
        <v>954</v>
      </c>
      <c r="BF23" s="961" t="s">
        <v>954</v>
      </c>
      <c r="BG23" s="961" t="s">
        <v>954</v>
      </c>
      <c r="BH23" s="961" t="s">
        <v>954</v>
      </c>
      <c r="BI23" s="961" t="s">
        <v>954</v>
      </c>
      <c r="BJ23" s="961" t="s">
        <v>954</v>
      </c>
      <c r="BK23" s="961" t="s">
        <v>954</v>
      </c>
      <c r="BL23" s="961" t="s">
        <v>954</v>
      </c>
      <c r="BM23" s="961" t="s">
        <v>954</v>
      </c>
      <c r="BN23" s="961" t="s">
        <v>954</v>
      </c>
      <c r="BO23" s="961" t="s">
        <v>954</v>
      </c>
      <c r="BP23" s="961" t="s">
        <v>954</v>
      </c>
      <c r="BQ23" s="961" t="s">
        <v>954</v>
      </c>
      <c r="BR23" s="961" t="s">
        <v>954</v>
      </c>
      <c r="BS23" s="961" t="s">
        <v>954</v>
      </c>
      <c r="BT23" s="961" t="s">
        <v>954</v>
      </c>
      <c r="BU23" s="961" t="s">
        <v>954</v>
      </c>
      <c r="BV23" s="961" t="s">
        <v>954</v>
      </c>
      <c r="BW23" s="961" t="s">
        <v>954</v>
      </c>
      <c r="BX23" s="961" t="s">
        <v>954</v>
      </c>
      <c r="BY23" s="961" t="s">
        <v>954</v>
      </c>
      <c r="BZ23" s="961" t="s">
        <v>954</v>
      </c>
    </row>
    <row r="24" spans="1:78" ht="35.25" customHeight="1">
      <c r="A24" s="950">
        <v>20</v>
      </c>
      <c r="B24" s="951" t="s">
        <v>2296</v>
      </c>
      <c r="C24" s="952">
        <f>'[1]Biểu 9'!AI28</f>
        <v>321</v>
      </c>
      <c r="D24" s="953">
        <f>'[1]Biểu 9'!Q28</f>
        <v>2912.94</v>
      </c>
      <c r="E24" s="954">
        <f t="shared" si="0"/>
        <v>0.12975233853006682</v>
      </c>
      <c r="F24" s="972"/>
      <c r="G24" s="968"/>
      <c r="H24" s="969"/>
      <c r="I24" s="969"/>
      <c r="J24" s="970"/>
      <c r="K24" s="970"/>
      <c r="L24" s="970"/>
      <c r="M24" s="970"/>
      <c r="N24" s="970"/>
      <c r="O24" s="970"/>
      <c r="P24" s="970"/>
      <c r="Q24" s="970"/>
      <c r="R24" s="970"/>
      <c r="S24" s="982"/>
      <c r="T24" s="982"/>
      <c r="U24" s="982"/>
      <c r="V24" s="982"/>
      <c r="W24" s="982"/>
      <c r="X24" s="982"/>
      <c r="Y24" s="982"/>
      <c r="Z24" s="982"/>
      <c r="AA24" s="982"/>
      <c r="AB24" s="982"/>
      <c r="AC24" s="960"/>
      <c r="AD24" s="960"/>
      <c r="AE24" s="960"/>
      <c r="AF24" s="960"/>
      <c r="AG24" s="960"/>
      <c r="AH24" s="960"/>
      <c r="AI24" s="960"/>
      <c r="AJ24" s="960"/>
      <c r="AK24" s="960"/>
      <c r="AL24" s="983"/>
      <c r="AM24" s="960"/>
      <c r="AN24" s="960"/>
      <c r="AO24" s="960"/>
      <c r="AP24" s="960"/>
      <c r="AQ24" s="960"/>
      <c r="AR24" s="960"/>
      <c r="AS24" s="981" t="s">
        <v>2278</v>
      </c>
      <c r="AT24" s="981" t="s">
        <v>2278</v>
      </c>
      <c r="AU24" s="981" t="s">
        <v>2278</v>
      </c>
      <c r="AV24" s="981" t="s">
        <v>2278</v>
      </c>
      <c r="AW24" s="981" t="s">
        <v>2278</v>
      </c>
      <c r="AX24" s="981" t="s">
        <v>2278</v>
      </c>
      <c r="AY24" s="981" t="s">
        <v>2278</v>
      </c>
      <c r="AZ24" s="981" t="s">
        <v>2278</v>
      </c>
      <c r="BA24" s="981" t="s">
        <v>2278</v>
      </c>
      <c r="BB24" s="981" t="s">
        <v>2278</v>
      </c>
      <c r="BC24" s="961" t="s">
        <v>954</v>
      </c>
      <c r="BD24" s="961" t="s">
        <v>954</v>
      </c>
      <c r="BE24" s="961" t="s">
        <v>954</v>
      </c>
      <c r="BF24" s="961" t="s">
        <v>954</v>
      </c>
      <c r="BG24" s="961" t="s">
        <v>954</v>
      </c>
      <c r="BH24" s="961" t="s">
        <v>954</v>
      </c>
      <c r="BI24" s="961" t="s">
        <v>954</v>
      </c>
      <c r="BJ24" s="961" t="s">
        <v>954</v>
      </c>
      <c r="BK24" s="961" t="s">
        <v>954</v>
      </c>
      <c r="BL24" s="961" t="s">
        <v>954</v>
      </c>
      <c r="BM24" s="961" t="s">
        <v>954</v>
      </c>
      <c r="BN24" s="961" t="s">
        <v>954</v>
      </c>
      <c r="BO24" s="961" t="s">
        <v>954</v>
      </c>
      <c r="BP24" s="961" t="s">
        <v>954</v>
      </c>
      <c r="BQ24" s="961" t="s">
        <v>954</v>
      </c>
      <c r="BR24" s="961" t="s">
        <v>954</v>
      </c>
      <c r="BS24" s="961" t="s">
        <v>954</v>
      </c>
      <c r="BT24" s="961" t="s">
        <v>954</v>
      </c>
      <c r="BU24" s="961" t="s">
        <v>954</v>
      </c>
      <c r="BV24" s="961" t="s">
        <v>954</v>
      </c>
      <c r="BW24" s="961" t="s">
        <v>954</v>
      </c>
      <c r="BX24" s="961" t="s">
        <v>954</v>
      </c>
      <c r="BY24" s="961" t="s">
        <v>954</v>
      </c>
      <c r="BZ24" s="961" t="s">
        <v>954</v>
      </c>
    </row>
    <row r="25" spans="1:78" ht="35.25" customHeight="1">
      <c r="A25" s="950">
        <v>21</v>
      </c>
      <c r="B25" s="951" t="s">
        <v>2297</v>
      </c>
      <c r="C25" s="952">
        <f>'[1]Biểu 9'!AI29</f>
        <v>263</v>
      </c>
      <c r="D25" s="953">
        <f>'[1]Biểu 9'!Q29</f>
        <v>3273.037772</v>
      </c>
      <c r="E25" s="954">
        <f t="shared" si="0"/>
        <v>0.1457923283741648</v>
      </c>
      <c r="F25" s="967"/>
      <c r="G25" s="968"/>
      <c r="H25" s="969"/>
      <c r="I25" s="969"/>
      <c r="J25" s="970"/>
      <c r="K25" s="970"/>
      <c r="L25" s="970"/>
      <c r="M25" s="970"/>
      <c r="N25" s="970"/>
      <c r="O25" s="970"/>
      <c r="P25" s="970"/>
      <c r="Q25" s="970"/>
      <c r="R25" s="970"/>
      <c r="S25" s="982"/>
      <c r="T25" s="982"/>
      <c r="U25" s="982"/>
      <c r="V25" s="982"/>
      <c r="W25" s="982"/>
      <c r="X25" s="982"/>
      <c r="Y25" s="982"/>
      <c r="Z25" s="982"/>
      <c r="AA25" s="982"/>
      <c r="AB25" s="982"/>
      <c r="AC25" s="960"/>
      <c r="AD25" s="960"/>
      <c r="AE25" s="960"/>
      <c r="AF25" s="960"/>
      <c r="AG25" s="960"/>
      <c r="AH25" s="960"/>
      <c r="AI25" s="960"/>
      <c r="AJ25" s="960"/>
      <c r="AK25" s="960"/>
      <c r="AL25" s="983"/>
      <c r="AM25" s="960"/>
      <c r="AN25" s="960"/>
      <c r="AO25" s="960"/>
      <c r="AP25" s="960"/>
      <c r="AQ25" s="960"/>
      <c r="AR25" s="960"/>
      <c r="AS25" s="981" t="s">
        <v>2278</v>
      </c>
      <c r="AT25" s="981" t="s">
        <v>2278</v>
      </c>
      <c r="AU25" s="981" t="s">
        <v>2278</v>
      </c>
      <c r="AV25" s="981" t="s">
        <v>2278</v>
      </c>
      <c r="AW25" s="981" t="s">
        <v>2278</v>
      </c>
      <c r="AX25" s="981" t="s">
        <v>2278</v>
      </c>
      <c r="AY25" s="981" t="s">
        <v>2278</v>
      </c>
      <c r="AZ25" s="981" t="s">
        <v>2278</v>
      </c>
      <c r="BA25" s="981" t="s">
        <v>2278</v>
      </c>
      <c r="BB25" s="981" t="s">
        <v>2278</v>
      </c>
      <c r="BC25" s="961" t="s">
        <v>954</v>
      </c>
      <c r="BD25" s="961" t="s">
        <v>954</v>
      </c>
      <c r="BE25" s="961" t="s">
        <v>954</v>
      </c>
      <c r="BF25" s="961" t="s">
        <v>954</v>
      </c>
      <c r="BG25" s="961" t="s">
        <v>954</v>
      </c>
      <c r="BH25" s="961" t="s">
        <v>954</v>
      </c>
      <c r="BI25" s="961" t="s">
        <v>954</v>
      </c>
      <c r="BJ25" s="961" t="s">
        <v>954</v>
      </c>
      <c r="BK25" s="961" t="s">
        <v>954</v>
      </c>
      <c r="BL25" s="961" t="s">
        <v>954</v>
      </c>
      <c r="BM25" s="961" t="s">
        <v>954</v>
      </c>
      <c r="BN25" s="961" t="s">
        <v>954</v>
      </c>
      <c r="BO25" s="961" t="s">
        <v>954</v>
      </c>
      <c r="BP25" s="961" t="s">
        <v>954</v>
      </c>
      <c r="BQ25" s="961" t="s">
        <v>954</v>
      </c>
      <c r="BR25" s="961" t="s">
        <v>954</v>
      </c>
      <c r="BS25" s="961" t="s">
        <v>954</v>
      </c>
      <c r="BT25" s="961" t="s">
        <v>954</v>
      </c>
      <c r="BU25" s="961" t="s">
        <v>954</v>
      </c>
      <c r="BV25" s="961" t="s">
        <v>954</v>
      </c>
      <c r="BW25" s="961" t="s">
        <v>954</v>
      </c>
      <c r="BX25" s="961" t="s">
        <v>954</v>
      </c>
      <c r="BY25" s="961" t="s">
        <v>954</v>
      </c>
      <c r="BZ25" s="961" t="s">
        <v>954</v>
      </c>
    </row>
    <row r="26" spans="1:78" ht="35.25" customHeight="1">
      <c r="A26" s="950">
        <v>22</v>
      </c>
      <c r="B26" s="951" t="s">
        <v>2298</v>
      </c>
      <c r="C26" s="952">
        <f>'[1]Biểu 9'!AI34</f>
        <v>462</v>
      </c>
      <c r="D26" s="953">
        <f>'[1]Biểu 9'!Q34</f>
        <v>6803.75</v>
      </c>
      <c r="E26" s="954">
        <f t="shared" si="0"/>
        <v>0.3030623608017817</v>
      </c>
      <c r="F26" s="967"/>
      <c r="G26" s="968"/>
      <c r="H26" s="969"/>
      <c r="I26" s="969"/>
      <c r="J26" s="970"/>
      <c r="K26" s="970"/>
      <c r="L26" s="970"/>
      <c r="M26" s="970"/>
      <c r="N26" s="970"/>
      <c r="O26" s="970"/>
      <c r="P26" s="970"/>
      <c r="Q26" s="970"/>
      <c r="R26" s="970"/>
      <c r="S26" s="982"/>
      <c r="T26" s="982"/>
      <c r="U26" s="982"/>
      <c r="V26" s="982"/>
      <c r="W26" s="982"/>
      <c r="X26" s="982"/>
      <c r="Y26" s="982"/>
      <c r="Z26" s="982"/>
      <c r="AA26" s="982"/>
      <c r="AB26" s="982"/>
      <c r="AC26" s="960"/>
      <c r="AD26" s="960"/>
      <c r="AE26" s="960"/>
      <c r="AF26" s="960"/>
      <c r="AG26" s="960"/>
      <c r="AH26" s="960"/>
      <c r="AI26" s="960"/>
      <c r="AJ26" s="960"/>
      <c r="AK26" s="960"/>
      <c r="AL26" s="983"/>
      <c r="AM26" s="960"/>
      <c r="AN26" s="960"/>
      <c r="AO26" s="960"/>
      <c r="AP26" s="960"/>
      <c r="AQ26" s="960"/>
      <c r="AR26" s="960"/>
      <c r="AS26" s="981" t="s">
        <v>2278</v>
      </c>
      <c r="AT26" s="981" t="s">
        <v>2278</v>
      </c>
      <c r="AU26" s="981" t="s">
        <v>2278</v>
      </c>
      <c r="AV26" s="981" t="s">
        <v>2278</v>
      </c>
      <c r="AW26" s="981" t="s">
        <v>2278</v>
      </c>
      <c r="AX26" s="981" t="s">
        <v>2278</v>
      </c>
      <c r="AY26" s="981" t="s">
        <v>2278</v>
      </c>
      <c r="AZ26" s="981" t="s">
        <v>2278</v>
      </c>
      <c r="BA26" s="981" t="s">
        <v>2278</v>
      </c>
      <c r="BB26" s="981" t="s">
        <v>2278</v>
      </c>
      <c r="BC26" s="961" t="s">
        <v>954</v>
      </c>
      <c r="BD26" s="961" t="s">
        <v>954</v>
      </c>
      <c r="BE26" s="961" t="s">
        <v>954</v>
      </c>
      <c r="BF26" s="961" t="s">
        <v>954</v>
      </c>
      <c r="BG26" s="961" t="s">
        <v>954</v>
      </c>
      <c r="BH26" s="961" t="s">
        <v>954</v>
      </c>
      <c r="BI26" s="961" t="s">
        <v>954</v>
      </c>
      <c r="BJ26" s="961" t="s">
        <v>954</v>
      </c>
      <c r="BK26" s="961" t="s">
        <v>954</v>
      </c>
      <c r="BL26" s="961" t="s">
        <v>954</v>
      </c>
      <c r="BM26" s="961" t="s">
        <v>954</v>
      </c>
      <c r="BN26" s="961" t="s">
        <v>954</v>
      </c>
      <c r="BO26" s="961" t="s">
        <v>954</v>
      </c>
      <c r="BP26" s="961" t="s">
        <v>954</v>
      </c>
      <c r="BQ26" s="961" t="s">
        <v>954</v>
      </c>
      <c r="BR26" s="961" t="s">
        <v>954</v>
      </c>
      <c r="BS26" s="961" t="s">
        <v>954</v>
      </c>
      <c r="BT26" s="961" t="s">
        <v>954</v>
      </c>
      <c r="BU26" s="961" t="s">
        <v>954</v>
      </c>
      <c r="BV26" s="961" t="s">
        <v>954</v>
      </c>
      <c r="BW26" s="961" t="s">
        <v>954</v>
      </c>
      <c r="BX26" s="961" t="s">
        <v>954</v>
      </c>
      <c r="BY26" s="961" t="s">
        <v>954</v>
      </c>
      <c r="BZ26" s="961" t="s">
        <v>954</v>
      </c>
    </row>
    <row r="27" spans="1:78" ht="35.25" customHeight="1">
      <c r="A27" s="950">
        <v>23</v>
      </c>
      <c r="B27" s="951" t="s">
        <v>2299</v>
      </c>
      <c r="C27" s="952">
        <f>'[1]Biểu 9'!AI30</f>
        <v>141</v>
      </c>
      <c r="D27" s="953">
        <f>'[1]Biểu 9'!Q30</f>
        <v>3610.043144999996</v>
      </c>
      <c r="E27" s="954">
        <f t="shared" si="0"/>
        <v>0.1608037035634742</v>
      </c>
      <c r="F27" s="967"/>
      <c r="G27" s="968"/>
      <c r="H27" s="969"/>
      <c r="I27" s="969"/>
      <c r="J27" s="970"/>
      <c r="K27" s="970"/>
      <c r="L27" s="970"/>
      <c r="M27" s="970"/>
      <c r="N27" s="970"/>
      <c r="O27" s="970"/>
      <c r="P27" s="970"/>
      <c r="Q27" s="970"/>
      <c r="R27" s="970"/>
      <c r="S27" s="982"/>
      <c r="T27" s="982"/>
      <c r="U27" s="982"/>
      <c r="V27" s="982"/>
      <c r="W27" s="982"/>
      <c r="X27" s="982"/>
      <c r="Y27" s="982"/>
      <c r="Z27" s="982"/>
      <c r="AA27" s="982"/>
      <c r="AB27" s="982"/>
      <c r="AC27" s="960"/>
      <c r="AD27" s="960"/>
      <c r="AE27" s="960"/>
      <c r="AF27" s="960"/>
      <c r="AG27" s="960"/>
      <c r="AH27" s="960"/>
      <c r="AI27" s="960"/>
      <c r="AJ27" s="960"/>
      <c r="AK27" s="960"/>
      <c r="AL27" s="983"/>
      <c r="AM27" s="960"/>
      <c r="AN27" s="960"/>
      <c r="AO27" s="960"/>
      <c r="AP27" s="960"/>
      <c r="AQ27" s="960"/>
      <c r="AR27" s="960"/>
      <c r="AS27" s="981" t="s">
        <v>2278</v>
      </c>
      <c r="AT27" s="981" t="s">
        <v>2278</v>
      </c>
      <c r="AU27" s="981" t="s">
        <v>2278</v>
      </c>
      <c r="AV27" s="981" t="s">
        <v>2278</v>
      </c>
      <c r="AW27" s="981" t="s">
        <v>2278</v>
      </c>
      <c r="AX27" s="981" t="s">
        <v>2278</v>
      </c>
      <c r="AY27" s="981" t="s">
        <v>2278</v>
      </c>
      <c r="AZ27" s="981" t="s">
        <v>2278</v>
      </c>
      <c r="BA27" s="981" t="s">
        <v>2278</v>
      </c>
      <c r="BB27" s="981" t="s">
        <v>2278</v>
      </c>
      <c r="BC27" s="961" t="s">
        <v>954</v>
      </c>
      <c r="BD27" s="961" t="s">
        <v>954</v>
      </c>
      <c r="BE27" s="961" t="s">
        <v>954</v>
      </c>
      <c r="BF27" s="961" t="s">
        <v>954</v>
      </c>
      <c r="BG27" s="961" t="s">
        <v>954</v>
      </c>
      <c r="BH27" s="961" t="s">
        <v>954</v>
      </c>
      <c r="BI27" s="961" t="s">
        <v>954</v>
      </c>
      <c r="BJ27" s="961" t="s">
        <v>954</v>
      </c>
      <c r="BK27" s="961" t="s">
        <v>954</v>
      </c>
      <c r="BL27" s="961" t="s">
        <v>954</v>
      </c>
      <c r="BM27" s="961" t="s">
        <v>954</v>
      </c>
      <c r="BN27" s="961" t="s">
        <v>954</v>
      </c>
      <c r="BO27" s="961" t="s">
        <v>954</v>
      </c>
      <c r="BP27" s="961" t="s">
        <v>954</v>
      </c>
      <c r="BQ27" s="961" t="s">
        <v>954</v>
      </c>
      <c r="BR27" s="961" t="s">
        <v>954</v>
      </c>
      <c r="BS27" s="961" t="s">
        <v>954</v>
      </c>
      <c r="BT27" s="961" t="s">
        <v>954</v>
      </c>
      <c r="BU27" s="961" t="s">
        <v>954</v>
      </c>
      <c r="BV27" s="961" t="s">
        <v>954</v>
      </c>
      <c r="BW27" s="961" t="s">
        <v>954</v>
      </c>
      <c r="BX27" s="961" t="s">
        <v>954</v>
      </c>
      <c r="BY27" s="961" t="s">
        <v>954</v>
      </c>
      <c r="BZ27" s="961" t="s">
        <v>954</v>
      </c>
    </row>
    <row r="28" spans="1:78" ht="35.25" customHeight="1">
      <c r="A28" s="950">
        <v>24</v>
      </c>
      <c r="B28" s="951" t="s">
        <v>2300</v>
      </c>
      <c r="C28" s="952">
        <f>'[1]Biểu 9'!AI31</f>
        <v>127</v>
      </c>
      <c r="D28" s="953">
        <f>'[1]Biểu 9'!Q31</f>
        <v>1779.85</v>
      </c>
      <c r="E28" s="954">
        <f t="shared" si="0"/>
        <v>0.07928062360801781</v>
      </c>
      <c r="F28" s="967"/>
      <c r="G28" s="968"/>
      <c r="H28" s="969"/>
      <c r="I28" s="969"/>
      <c r="J28" s="970"/>
      <c r="K28" s="970"/>
      <c r="L28" s="970"/>
      <c r="M28" s="970"/>
      <c r="N28" s="970"/>
      <c r="O28" s="970"/>
      <c r="P28" s="970"/>
      <c r="Q28" s="970"/>
      <c r="R28" s="970"/>
      <c r="S28" s="982"/>
      <c r="T28" s="982"/>
      <c r="U28" s="982"/>
      <c r="V28" s="982"/>
      <c r="W28" s="982"/>
      <c r="X28" s="982"/>
      <c r="Y28" s="982"/>
      <c r="Z28" s="982"/>
      <c r="AA28" s="982"/>
      <c r="AB28" s="982"/>
      <c r="AC28" s="960"/>
      <c r="AD28" s="960"/>
      <c r="AE28" s="960"/>
      <c r="AF28" s="960"/>
      <c r="AG28" s="960"/>
      <c r="AH28" s="960"/>
      <c r="AI28" s="960"/>
      <c r="AJ28" s="960"/>
      <c r="AK28" s="960"/>
      <c r="AL28" s="983"/>
      <c r="AM28" s="960"/>
      <c r="AN28" s="960"/>
      <c r="AO28" s="960"/>
      <c r="AP28" s="960"/>
      <c r="AQ28" s="960"/>
      <c r="AR28" s="960"/>
      <c r="AS28" s="981" t="s">
        <v>2278</v>
      </c>
      <c r="AT28" s="981" t="s">
        <v>2278</v>
      </c>
      <c r="AU28" s="981" t="s">
        <v>2278</v>
      </c>
      <c r="AV28" s="981" t="s">
        <v>2278</v>
      </c>
      <c r="AW28" s="981" t="s">
        <v>2278</v>
      </c>
      <c r="AX28" s="981" t="s">
        <v>2278</v>
      </c>
      <c r="AY28" s="981" t="s">
        <v>2278</v>
      </c>
      <c r="AZ28" s="981" t="s">
        <v>2278</v>
      </c>
      <c r="BA28" s="981" t="s">
        <v>2278</v>
      </c>
      <c r="BB28" s="981" t="s">
        <v>2278</v>
      </c>
      <c r="BC28" s="961" t="s">
        <v>954</v>
      </c>
      <c r="BD28" s="961" t="s">
        <v>954</v>
      </c>
      <c r="BE28" s="961" t="s">
        <v>954</v>
      </c>
      <c r="BF28" s="961" t="s">
        <v>954</v>
      </c>
      <c r="BG28" s="961" t="s">
        <v>954</v>
      </c>
      <c r="BH28" s="961" t="s">
        <v>954</v>
      </c>
      <c r="BI28" s="961" t="s">
        <v>954</v>
      </c>
      <c r="BJ28" s="961" t="s">
        <v>954</v>
      </c>
      <c r="BK28" s="961" t="s">
        <v>954</v>
      </c>
      <c r="BL28" s="961" t="s">
        <v>954</v>
      </c>
      <c r="BM28" s="961" t="s">
        <v>954</v>
      </c>
      <c r="BN28" s="961" t="s">
        <v>954</v>
      </c>
      <c r="BO28" s="961" t="s">
        <v>954</v>
      </c>
      <c r="BP28" s="961" t="s">
        <v>954</v>
      </c>
      <c r="BQ28" s="961" t="s">
        <v>954</v>
      </c>
      <c r="BR28" s="961" t="s">
        <v>954</v>
      </c>
      <c r="BS28" s="961" t="s">
        <v>954</v>
      </c>
      <c r="BT28" s="961" t="s">
        <v>954</v>
      </c>
      <c r="BU28" s="961" t="s">
        <v>954</v>
      </c>
      <c r="BV28" s="961" t="s">
        <v>954</v>
      </c>
      <c r="BW28" s="961" t="s">
        <v>954</v>
      </c>
      <c r="BX28" s="961" t="s">
        <v>954</v>
      </c>
      <c r="BY28" s="961" t="s">
        <v>954</v>
      </c>
      <c r="BZ28" s="961" t="s">
        <v>954</v>
      </c>
    </row>
    <row r="29" spans="1:78" ht="35.25" customHeight="1">
      <c r="A29" s="950">
        <v>25</v>
      </c>
      <c r="B29" s="951" t="s">
        <v>2301</v>
      </c>
      <c r="C29" s="952">
        <f>'[1]Biểu 9'!AI36</f>
        <v>324</v>
      </c>
      <c r="D29" s="953">
        <f>'[1]Biểu 9'!Q36</f>
        <v>5932.98</v>
      </c>
      <c r="E29" s="954">
        <f t="shared" si="0"/>
        <v>0.2642752783964365</v>
      </c>
      <c r="F29" s="967"/>
      <c r="G29" s="968"/>
      <c r="H29" s="969"/>
      <c r="I29" s="969"/>
      <c r="J29" s="970"/>
      <c r="K29" s="970"/>
      <c r="L29" s="970"/>
      <c r="M29" s="970"/>
      <c r="N29" s="970"/>
      <c r="O29" s="970"/>
      <c r="P29" s="970"/>
      <c r="Q29" s="970"/>
      <c r="R29" s="970"/>
      <c r="S29" s="982"/>
      <c r="T29" s="982"/>
      <c r="U29" s="982"/>
      <c r="V29" s="982"/>
      <c r="W29" s="982"/>
      <c r="X29" s="982"/>
      <c r="Y29" s="982"/>
      <c r="Z29" s="982"/>
      <c r="AA29" s="982"/>
      <c r="AB29" s="982"/>
      <c r="AC29" s="960"/>
      <c r="AD29" s="960"/>
      <c r="AE29" s="960"/>
      <c r="AF29" s="960"/>
      <c r="AG29" s="960"/>
      <c r="AH29" s="960"/>
      <c r="AI29" s="960"/>
      <c r="AJ29" s="960"/>
      <c r="AK29" s="960"/>
      <c r="AL29" s="983"/>
      <c r="AM29" s="960"/>
      <c r="AN29" s="960"/>
      <c r="AO29" s="960"/>
      <c r="AP29" s="960"/>
      <c r="AQ29" s="960"/>
      <c r="AR29" s="960"/>
      <c r="AS29" s="981" t="s">
        <v>2278</v>
      </c>
      <c r="AT29" s="981" t="s">
        <v>2278</v>
      </c>
      <c r="AU29" s="981" t="s">
        <v>2278</v>
      </c>
      <c r="AV29" s="981" t="s">
        <v>2278</v>
      </c>
      <c r="AW29" s="981" t="s">
        <v>2278</v>
      </c>
      <c r="AX29" s="981" t="s">
        <v>2278</v>
      </c>
      <c r="AY29" s="981" t="s">
        <v>2278</v>
      </c>
      <c r="AZ29" s="981" t="s">
        <v>2278</v>
      </c>
      <c r="BA29" s="981" t="s">
        <v>2278</v>
      </c>
      <c r="BB29" s="981" t="s">
        <v>2278</v>
      </c>
      <c r="BC29" s="961" t="s">
        <v>954</v>
      </c>
      <c r="BD29" s="961" t="s">
        <v>954</v>
      </c>
      <c r="BE29" s="961" t="s">
        <v>954</v>
      </c>
      <c r="BF29" s="961" t="s">
        <v>954</v>
      </c>
      <c r="BG29" s="961" t="s">
        <v>954</v>
      </c>
      <c r="BH29" s="961" t="s">
        <v>954</v>
      </c>
      <c r="BI29" s="961" t="s">
        <v>954</v>
      </c>
      <c r="BJ29" s="961" t="s">
        <v>954</v>
      </c>
      <c r="BK29" s="961" t="s">
        <v>954</v>
      </c>
      <c r="BL29" s="961" t="s">
        <v>954</v>
      </c>
      <c r="BM29" s="961" t="s">
        <v>954</v>
      </c>
      <c r="BN29" s="961" t="s">
        <v>954</v>
      </c>
      <c r="BO29" s="961" t="s">
        <v>954</v>
      </c>
      <c r="BP29" s="961" t="s">
        <v>954</v>
      </c>
      <c r="BQ29" s="961" t="s">
        <v>954</v>
      </c>
      <c r="BR29" s="961" t="s">
        <v>954</v>
      </c>
      <c r="BS29" s="961" t="s">
        <v>954</v>
      </c>
      <c r="BT29" s="961" t="s">
        <v>954</v>
      </c>
      <c r="BU29" s="961" t="s">
        <v>954</v>
      </c>
      <c r="BV29" s="961" t="s">
        <v>954</v>
      </c>
      <c r="BW29" s="961" t="s">
        <v>954</v>
      </c>
      <c r="BX29" s="961" t="s">
        <v>954</v>
      </c>
      <c r="BY29" s="961" t="s">
        <v>954</v>
      </c>
      <c r="BZ29" s="961" t="s">
        <v>954</v>
      </c>
    </row>
    <row r="30" spans="1:78" ht="35.25" customHeight="1">
      <c r="A30" s="950">
        <v>26</v>
      </c>
      <c r="B30" s="951" t="s">
        <v>2302</v>
      </c>
      <c r="C30" s="952">
        <f>'[1]Biểu 9'!AI35</f>
        <v>166</v>
      </c>
      <c r="D30" s="953">
        <f>'[1]Biểu 9'!Q35</f>
        <v>2492.39</v>
      </c>
      <c r="E30" s="954">
        <f t="shared" si="0"/>
        <v>0.1110195991091314</v>
      </c>
      <c r="F30" s="967"/>
      <c r="G30" s="968"/>
      <c r="H30" s="969"/>
      <c r="I30" s="969"/>
      <c r="J30" s="970"/>
      <c r="K30" s="970"/>
      <c r="L30" s="970"/>
      <c r="M30" s="970"/>
      <c r="N30" s="970"/>
      <c r="O30" s="970"/>
      <c r="P30" s="970"/>
      <c r="Q30" s="970"/>
      <c r="R30" s="970"/>
      <c r="S30" s="982"/>
      <c r="T30" s="982"/>
      <c r="U30" s="982"/>
      <c r="V30" s="982"/>
      <c r="W30" s="982"/>
      <c r="X30" s="982"/>
      <c r="Y30" s="982"/>
      <c r="Z30" s="982"/>
      <c r="AA30" s="982"/>
      <c r="AB30" s="982"/>
      <c r="AC30" s="960"/>
      <c r="AD30" s="960"/>
      <c r="AE30" s="960"/>
      <c r="AF30" s="960"/>
      <c r="AG30" s="960"/>
      <c r="AH30" s="960"/>
      <c r="AI30" s="960"/>
      <c r="AJ30" s="960"/>
      <c r="AK30" s="960"/>
      <c r="AL30" s="983"/>
      <c r="AM30" s="960"/>
      <c r="AN30" s="960"/>
      <c r="AO30" s="960"/>
      <c r="AP30" s="960"/>
      <c r="AQ30" s="960"/>
      <c r="AR30" s="960"/>
      <c r="AS30" s="981" t="s">
        <v>2278</v>
      </c>
      <c r="AT30" s="981" t="s">
        <v>2278</v>
      </c>
      <c r="AU30" s="981" t="s">
        <v>2278</v>
      </c>
      <c r="AV30" s="981" t="s">
        <v>2278</v>
      </c>
      <c r="AW30" s="981" t="s">
        <v>2278</v>
      </c>
      <c r="AX30" s="981" t="s">
        <v>2278</v>
      </c>
      <c r="AY30" s="981" t="s">
        <v>2278</v>
      </c>
      <c r="AZ30" s="981" t="s">
        <v>2278</v>
      </c>
      <c r="BA30" s="981" t="s">
        <v>2278</v>
      </c>
      <c r="BB30" s="981" t="s">
        <v>2278</v>
      </c>
      <c r="BC30" s="961" t="s">
        <v>954</v>
      </c>
      <c r="BD30" s="961" t="s">
        <v>954</v>
      </c>
      <c r="BE30" s="961" t="s">
        <v>954</v>
      </c>
      <c r="BF30" s="961" t="s">
        <v>954</v>
      </c>
      <c r="BG30" s="961" t="s">
        <v>954</v>
      </c>
      <c r="BH30" s="961" t="s">
        <v>954</v>
      </c>
      <c r="BI30" s="961" t="s">
        <v>954</v>
      </c>
      <c r="BJ30" s="961" t="s">
        <v>954</v>
      </c>
      <c r="BK30" s="961" t="s">
        <v>954</v>
      </c>
      <c r="BL30" s="961" t="s">
        <v>954</v>
      </c>
      <c r="BM30" s="961" t="s">
        <v>954</v>
      </c>
      <c r="BN30" s="961" t="s">
        <v>954</v>
      </c>
      <c r="BO30" s="961" t="s">
        <v>954</v>
      </c>
      <c r="BP30" s="961" t="s">
        <v>954</v>
      </c>
      <c r="BQ30" s="961" t="s">
        <v>954</v>
      </c>
      <c r="BR30" s="961" t="s">
        <v>954</v>
      </c>
      <c r="BS30" s="961" t="s">
        <v>954</v>
      </c>
      <c r="BT30" s="961" t="s">
        <v>954</v>
      </c>
      <c r="BU30" s="961" t="s">
        <v>954</v>
      </c>
      <c r="BV30" s="961" t="s">
        <v>954</v>
      </c>
      <c r="BW30" s="961" t="s">
        <v>954</v>
      </c>
      <c r="BX30" s="961" t="s">
        <v>954</v>
      </c>
      <c r="BY30" s="961" t="s">
        <v>954</v>
      </c>
      <c r="BZ30" s="961" t="s">
        <v>954</v>
      </c>
    </row>
    <row r="31" spans="1:78" ht="35.25" customHeight="1">
      <c r="A31" s="950">
        <v>27</v>
      </c>
      <c r="B31" s="951" t="s">
        <v>2303</v>
      </c>
      <c r="C31" s="952">
        <f>'[1]Biểu 9'!AI32</f>
        <v>239</v>
      </c>
      <c r="D31" s="953">
        <f>'[1]Biểu 9'!Q32</f>
        <v>2019.7</v>
      </c>
      <c r="E31" s="954">
        <f t="shared" si="0"/>
        <v>0.08996436525612472</v>
      </c>
      <c r="F31" s="967"/>
      <c r="G31" s="968"/>
      <c r="H31" s="969"/>
      <c r="I31" s="969"/>
      <c r="J31" s="970"/>
      <c r="K31" s="970"/>
      <c r="L31" s="970"/>
      <c r="M31" s="970"/>
      <c r="N31" s="970"/>
      <c r="O31" s="970"/>
      <c r="P31" s="970"/>
      <c r="Q31" s="970"/>
      <c r="R31" s="970"/>
      <c r="S31" s="982"/>
      <c r="T31" s="982"/>
      <c r="U31" s="983"/>
      <c r="V31" s="983"/>
      <c r="W31" s="983"/>
      <c r="X31" s="983"/>
      <c r="Y31" s="983"/>
      <c r="Z31" s="983"/>
      <c r="AA31" s="983"/>
      <c r="AB31" s="983"/>
      <c r="AC31" s="982"/>
      <c r="AD31" s="982"/>
      <c r="AE31" s="960"/>
      <c r="AF31" s="960"/>
      <c r="AG31" s="960"/>
      <c r="AH31" s="960"/>
      <c r="AI31" s="960"/>
      <c r="AJ31" s="960"/>
      <c r="AK31" s="960"/>
      <c r="AL31" s="983"/>
      <c r="AM31" s="960"/>
      <c r="AN31" s="960"/>
      <c r="AO31" s="960"/>
      <c r="AP31" s="960"/>
      <c r="AQ31" s="960"/>
      <c r="AR31" s="960"/>
      <c r="AS31" s="981" t="s">
        <v>2278</v>
      </c>
      <c r="AT31" s="981" t="s">
        <v>2278</v>
      </c>
      <c r="AU31" s="981" t="s">
        <v>2278</v>
      </c>
      <c r="AV31" s="981" t="s">
        <v>2278</v>
      </c>
      <c r="AW31" s="981" t="s">
        <v>2278</v>
      </c>
      <c r="AX31" s="981" t="s">
        <v>2278</v>
      </c>
      <c r="AY31" s="981" t="s">
        <v>2278</v>
      </c>
      <c r="AZ31" s="981" t="s">
        <v>2278</v>
      </c>
      <c r="BA31" s="981" t="s">
        <v>2278</v>
      </c>
      <c r="BB31" s="981" t="s">
        <v>2278</v>
      </c>
      <c r="BC31" s="961" t="s">
        <v>954</v>
      </c>
      <c r="BD31" s="961" t="s">
        <v>954</v>
      </c>
      <c r="BE31" s="961" t="s">
        <v>954</v>
      </c>
      <c r="BF31" s="961" t="s">
        <v>954</v>
      </c>
      <c r="BG31" s="961" t="s">
        <v>954</v>
      </c>
      <c r="BH31" s="961" t="s">
        <v>954</v>
      </c>
      <c r="BI31" s="961" t="s">
        <v>954</v>
      </c>
      <c r="BJ31" s="961" t="s">
        <v>954</v>
      </c>
      <c r="BK31" s="961" t="s">
        <v>954</v>
      </c>
      <c r="BL31" s="961" t="s">
        <v>954</v>
      </c>
      <c r="BM31" s="961" t="s">
        <v>954</v>
      </c>
      <c r="BN31" s="961" t="s">
        <v>954</v>
      </c>
      <c r="BO31" s="961" t="s">
        <v>954</v>
      </c>
      <c r="BP31" s="961" t="s">
        <v>954</v>
      </c>
      <c r="BQ31" s="961" t="s">
        <v>954</v>
      </c>
      <c r="BR31" s="961" t="s">
        <v>954</v>
      </c>
      <c r="BS31" s="961" t="s">
        <v>954</v>
      </c>
      <c r="BT31" s="961" t="s">
        <v>954</v>
      </c>
      <c r="BU31" s="961" t="s">
        <v>954</v>
      </c>
      <c r="BV31" s="961" t="s">
        <v>954</v>
      </c>
      <c r="BW31" s="961" t="s">
        <v>954</v>
      </c>
      <c r="BX31" s="961" t="s">
        <v>954</v>
      </c>
      <c r="BY31" s="961" t="s">
        <v>954</v>
      </c>
      <c r="BZ31" s="961" t="s">
        <v>954</v>
      </c>
    </row>
    <row r="32" spans="1:78" ht="35.25" customHeight="1">
      <c r="A32" s="950">
        <v>28</v>
      </c>
      <c r="B32" s="986" t="s">
        <v>2304</v>
      </c>
      <c r="C32" s="987">
        <f>'[1]Biểu 9'!AJ37</f>
        <v>222</v>
      </c>
      <c r="D32" s="953">
        <f>'[1]Biểu 9'!Q37</f>
        <v>5576.213011</v>
      </c>
      <c r="E32" s="954">
        <f t="shared" si="0"/>
        <v>0.24838365305122492</v>
      </c>
      <c r="F32" s="967"/>
      <c r="G32" s="968"/>
      <c r="H32" s="969"/>
      <c r="I32" s="969"/>
      <c r="J32" s="970"/>
      <c r="K32" s="970"/>
      <c r="L32" s="970"/>
      <c r="M32" s="970"/>
      <c r="N32" s="970"/>
      <c r="O32" s="970"/>
      <c r="P32" s="970"/>
      <c r="Q32" s="970"/>
      <c r="R32" s="970"/>
      <c r="S32" s="982"/>
      <c r="T32" s="982"/>
      <c r="U32" s="983"/>
      <c r="V32" s="983"/>
      <c r="W32" s="983"/>
      <c r="X32" s="983"/>
      <c r="Y32" s="983"/>
      <c r="Z32" s="983"/>
      <c r="AA32" s="983"/>
      <c r="AB32" s="983"/>
      <c r="AC32" s="982"/>
      <c r="AD32" s="982"/>
      <c r="AE32" s="960"/>
      <c r="AF32" s="960"/>
      <c r="AG32" s="960"/>
      <c r="AH32" s="960"/>
      <c r="AI32" s="960"/>
      <c r="AJ32" s="960"/>
      <c r="AK32" s="960"/>
      <c r="AL32" s="983"/>
      <c r="AM32" s="960"/>
      <c r="AN32" s="960"/>
      <c r="AO32" s="960"/>
      <c r="AP32" s="960"/>
      <c r="AQ32" s="960"/>
      <c r="AR32" s="960"/>
      <c r="AS32" s="971"/>
      <c r="AT32" s="971"/>
      <c r="AU32" s="971"/>
      <c r="AV32" s="971"/>
      <c r="AW32" s="971"/>
      <c r="AX32" s="971"/>
      <c r="AY32" s="971"/>
      <c r="AZ32" s="971"/>
      <c r="BA32" s="971"/>
      <c r="BB32" s="971"/>
      <c r="BC32" s="980"/>
      <c r="BD32" s="988"/>
      <c r="BE32" s="988" t="s">
        <v>2278</v>
      </c>
      <c r="BF32" s="988" t="s">
        <v>2278</v>
      </c>
      <c r="BG32" s="988" t="s">
        <v>2278</v>
      </c>
      <c r="BH32" s="988" t="s">
        <v>2278</v>
      </c>
      <c r="BI32" s="988" t="s">
        <v>2278</v>
      </c>
      <c r="BJ32" s="988" t="s">
        <v>2278</v>
      </c>
      <c r="BK32" s="988" t="s">
        <v>2278</v>
      </c>
      <c r="BL32" s="988" t="s">
        <v>2278</v>
      </c>
      <c r="BM32" s="988" t="s">
        <v>2278</v>
      </c>
      <c r="BN32" s="961" t="s">
        <v>954</v>
      </c>
      <c r="BO32" s="961" t="s">
        <v>954</v>
      </c>
      <c r="BP32" s="961" t="s">
        <v>954</v>
      </c>
      <c r="BQ32" s="961" t="s">
        <v>954</v>
      </c>
      <c r="BR32" s="961" t="s">
        <v>954</v>
      </c>
      <c r="BS32" s="961" t="s">
        <v>954</v>
      </c>
      <c r="BT32" s="961" t="s">
        <v>954</v>
      </c>
      <c r="BU32" s="961" t="s">
        <v>954</v>
      </c>
      <c r="BV32" s="961" t="s">
        <v>954</v>
      </c>
      <c r="BW32" s="961" t="s">
        <v>954</v>
      </c>
      <c r="BX32" s="961" t="s">
        <v>954</v>
      </c>
      <c r="BY32" s="961" t="s">
        <v>954</v>
      </c>
      <c r="BZ32" s="961" t="s">
        <v>954</v>
      </c>
    </row>
    <row r="33" spans="1:78" ht="35.25" customHeight="1">
      <c r="A33" s="974">
        <v>29</v>
      </c>
      <c r="B33" s="989" t="s">
        <v>2254</v>
      </c>
      <c r="C33" s="976">
        <f>'[1]Biểu 9'!AJ38</f>
        <v>422</v>
      </c>
      <c r="D33" s="977">
        <f>'[1]Biểu 9'!Q38</f>
        <v>8418.64538059265</v>
      </c>
      <c r="E33" s="954">
        <f t="shared" si="0"/>
        <v>0.3749953398927684</v>
      </c>
      <c r="F33" s="978"/>
      <c r="G33" s="979"/>
      <c r="H33" s="970"/>
      <c r="I33" s="970"/>
      <c r="J33" s="970"/>
      <c r="K33" s="970"/>
      <c r="L33" s="970"/>
      <c r="M33" s="970"/>
      <c r="N33" s="970"/>
      <c r="O33" s="970"/>
      <c r="P33" s="970"/>
      <c r="Q33" s="970"/>
      <c r="R33" s="970"/>
      <c r="S33" s="984"/>
      <c r="T33" s="984"/>
      <c r="U33" s="985"/>
      <c r="V33" s="985"/>
      <c r="W33" s="985"/>
      <c r="X33" s="985"/>
      <c r="Y33" s="985"/>
      <c r="Z33" s="985"/>
      <c r="AA33" s="985"/>
      <c r="AB33" s="985"/>
      <c r="AC33" s="984"/>
      <c r="AD33" s="984"/>
      <c r="AE33" s="971"/>
      <c r="AF33" s="971"/>
      <c r="AG33" s="971"/>
      <c r="AH33" s="971"/>
      <c r="AI33" s="971"/>
      <c r="AJ33" s="971"/>
      <c r="AK33" s="971"/>
      <c r="AL33" s="985"/>
      <c r="AM33" s="971"/>
      <c r="AN33" s="971"/>
      <c r="AO33" s="971"/>
      <c r="AP33" s="971"/>
      <c r="AQ33" s="971"/>
      <c r="AR33" s="971"/>
      <c r="AS33" s="971"/>
      <c r="AT33" s="971"/>
      <c r="AU33" s="971"/>
      <c r="AV33" s="971"/>
      <c r="AW33" s="971"/>
      <c r="AX33" s="971"/>
      <c r="AY33" s="971"/>
      <c r="AZ33" s="971"/>
      <c r="BA33" s="971"/>
      <c r="BB33" s="971"/>
      <c r="BC33" s="980"/>
      <c r="BD33" s="988"/>
      <c r="BE33" s="988" t="s">
        <v>2278</v>
      </c>
      <c r="BF33" s="988" t="s">
        <v>2278</v>
      </c>
      <c r="BG33" s="988" t="s">
        <v>2278</v>
      </c>
      <c r="BH33" s="988" t="s">
        <v>2278</v>
      </c>
      <c r="BI33" s="988" t="s">
        <v>2278</v>
      </c>
      <c r="BJ33" s="988" t="s">
        <v>2278</v>
      </c>
      <c r="BK33" s="988" t="s">
        <v>2278</v>
      </c>
      <c r="BL33" s="988" t="s">
        <v>2278</v>
      </c>
      <c r="BM33" s="988" t="s">
        <v>2278</v>
      </c>
      <c r="BN33" s="961" t="s">
        <v>954</v>
      </c>
      <c r="BO33" s="961" t="s">
        <v>954</v>
      </c>
      <c r="BP33" s="961" t="s">
        <v>954</v>
      </c>
      <c r="BQ33" s="961" t="s">
        <v>954</v>
      </c>
      <c r="BR33" s="961" t="s">
        <v>954</v>
      </c>
      <c r="BS33" s="961" t="s">
        <v>954</v>
      </c>
      <c r="BT33" s="961" t="s">
        <v>954</v>
      </c>
      <c r="BU33" s="961" t="s">
        <v>954</v>
      </c>
      <c r="BV33" s="961" t="s">
        <v>954</v>
      </c>
      <c r="BW33" s="961" t="s">
        <v>954</v>
      </c>
      <c r="BX33" s="961" t="s">
        <v>954</v>
      </c>
      <c r="BY33" s="961" t="s">
        <v>954</v>
      </c>
      <c r="BZ33" s="961" t="s">
        <v>954</v>
      </c>
    </row>
    <row r="34" spans="1:78" ht="33.75">
      <c r="A34" s="974">
        <v>30</v>
      </c>
      <c r="B34" s="989" t="s">
        <v>2257</v>
      </c>
      <c r="C34" s="976">
        <f>'[1]Biểu 9'!AJ39</f>
        <v>140</v>
      </c>
      <c r="D34" s="977">
        <f>'[1]Biểu 9'!Q39</f>
        <v>3206.8109160000004</v>
      </c>
      <c r="E34" s="954">
        <f t="shared" si="0"/>
        <v>0.14284235706013365</v>
      </c>
      <c r="F34" s="978"/>
      <c r="G34" s="979"/>
      <c r="H34" s="970"/>
      <c r="I34" s="970"/>
      <c r="J34" s="970"/>
      <c r="K34" s="970"/>
      <c r="L34" s="970"/>
      <c r="M34" s="970"/>
      <c r="N34" s="970"/>
      <c r="O34" s="970"/>
      <c r="P34" s="970"/>
      <c r="Q34" s="970"/>
      <c r="R34" s="970"/>
      <c r="S34" s="984"/>
      <c r="T34" s="984"/>
      <c r="U34" s="985"/>
      <c r="V34" s="985"/>
      <c r="W34" s="985"/>
      <c r="X34" s="985"/>
      <c r="Y34" s="985"/>
      <c r="Z34" s="985"/>
      <c r="AA34" s="985"/>
      <c r="AB34" s="985"/>
      <c r="AC34" s="984"/>
      <c r="AD34" s="984"/>
      <c r="AE34" s="971"/>
      <c r="AF34" s="971"/>
      <c r="AG34" s="971"/>
      <c r="AH34" s="971"/>
      <c r="AI34" s="971"/>
      <c r="AJ34" s="971"/>
      <c r="AK34" s="971"/>
      <c r="AL34" s="985"/>
      <c r="AM34" s="971"/>
      <c r="AN34" s="971"/>
      <c r="AO34" s="971"/>
      <c r="AP34" s="971"/>
      <c r="AQ34" s="971"/>
      <c r="AR34" s="971"/>
      <c r="AS34" s="971"/>
      <c r="AT34" s="971"/>
      <c r="AU34" s="971"/>
      <c r="AV34" s="971"/>
      <c r="AW34" s="971"/>
      <c r="AX34" s="971"/>
      <c r="AY34" s="971"/>
      <c r="AZ34" s="971"/>
      <c r="BA34" s="971"/>
      <c r="BB34" s="971"/>
      <c r="BC34" s="980"/>
      <c r="BD34" s="988"/>
      <c r="BE34" s="988" t="s">
        <v>2278</v>
      </c>
      <c r="BF34" s="988" t="s">
        <v>2278</v>
      </c>
      <c r="BG34" s="988" t="s">
        <v>2278</v>
      </c>
      <c r="BH34" s="988" t="s">
        <v>2278</v>
      </c>
      <c r="BI34" s="988" t="s">
        <v>2278</v>
      </c>
      <c r="BJ34" s="988" t="s">
        <v>2278</v>
      </c>
      <c r="BK34" s="988" t="s">
        <v>2278</v>
      </c>
      <c r="BL34" s="988" t="s">
        <v>2278</v>
      </c>
      <c r="BM34" s="988" t="s">
        <v>2278</v>
      </c>
      <c r="BN34" s="961" t="s">
        <v>954</v>
      </c>
      <c r="BO34" s="961" t="s">
        <v>954</v>
      </c>
      <c r="BP34" s="961" t="s">
        <v>954</v>
      </c>
      <c r="BQ34" s="961" t="s">
        <v>954</v>
      </c>
      <c r="BR34" s="961" t="s">
        <v>954</v>
      </c>
      <c r="BS34" s="961" t="s">
        <v>954</v>
      </c>
      <c r="BT34" s="961" t="s">
        <v>954</v>
      </c>
      <c r="BU34" s="961" t="s">
        <v>954</v>
      </c>
      <c r="BV34" s="961" t="s">
        <v>954</v>
      </c>
      <c r="BW34" s="961" t="s">
        <v>954</v>
      </c>
      <c r="BX34" s="961" t="s">
        <v>954</v>
      </c>
      <c r="BY34" s="961" t="s">
        <v>954</v>
      </c>
      <c r="BZ34" s="961" t="s">
        <v>954</v>
      </c>
    </row>
    <row r="35" spans="1:78" ht="33.75">
      <c r="A35" s="950">
        <v>31</v>
      </c>
      <c r="B35" s="990" t="s">
        <v>2263</v>
      </c>
      <c r="C35" s="952">
        <f>'[1]Biểu 9'!AJ41</f>
        <v>466</v>
      </c>
      <c r="D35" s="953">
        <f>'[1]Biểu 9'!Q41</f>
        <v>6445</v>
      </c>
      <c r="E35" s="954">
        <f t="shared" si="0"/>
        <v>0.28708240534521157</v>
      </c>
      <c r="F35" s="967"/>
      <c r="G35" s="968"/>
      <c r="H35" s="969"/>
      <c r="I35" s="969"/>
      <c r="J35" s="970"/>
      <c r="K35" s="970"/>
      <c r="L35" s="970"/>
      <c r="M35" s="970"/>
      <c r="N35" s="970"/>
      <c r="O35" s="970"/>
      <c r="P35" s="970"/>
      <c r="Q35" s="970"/>
      <c r="R35" s="970"/>
      <c r="S35" s="982"/>
      <c r="T35" s="982"/>
      <c r="U35" s="983"/>
      <c r="V35" s="983"/>
      <c r="W35" s="983"/>
      <c r="X35" s="983"/>
      <c r="Y35" s="983"/>
      <c r="Z35" s="983"/>
      <c r="AA35" s="983"/>
      <c r="AB35" s="983"/>
      <c r="AC35" s="982"/>
      <c r="AD35" s="982"/>
      <c r="AE35" s="960"/>
      <c r="AF35" s="960"/>
      <c r="AG35" s="960"/>
      <c r="AH35" s="960"/>
      <c r="AI35" s="960"/>
      <c r="AJ35" s="960"/>
      <c r="AK35" s="960"/>
      <c r="AL35" s="983"/>
      <c r="AM35" s="960"/>
      <c r="AN35" s="960"/>
      <c r="AO35" s="960"/>
      <c r="AP35" s="960"/>
      <c r="AQ35" s="960"/>
      <c r="AR35" s="960"/>
      <c r="AS35" s="960"/>
      <c r="AT35" s="960"/>
      <c r="AU35" s="960"/>
      <c r="AV35" s="960"/>
      <c r="AW35" s="960"/>
      <c r="AX35" s="960"/>
      <c r="AY35" s="960"/>
      <c r="AZ35" s="960"/>
      <c r="BA35" s="960"/>
      <c r="BB35" s="960"/>
      <c r="BC35" s="973"/>
      <c r="BD35" s="988"/>
      <c r="BE35" s="988" t="s">
        <v>2278</v>
      </c>
      <c r="BF35" s="988" t="s">
        <v>2278</v>
      </c>
      <c r="BG35" s="988" t="s">
        <v>2278</v>
      </c>
      <c r="BH35" s="988" t="s">
        <v>2278</v>
      </c>
      <c r="BI35" s="988" t="s">
        <v>2278</v>
      </c>
      <c r="BJ35" s="988" t="s">
        <v>2278</v>
      </c>
      <c r="BK35" s="988" t="s">
        <v>2278</v>
      </c>
      <c r="BL35" s="988" t="s">
        <v>2278</v>
      </c>
      <c r="BM35" s="988" t="s">
        <v>2278</v>
      </c>
      <c r="BN35" s="961" t="s">
        <v>954</v>
      </c>
      <c r="BO35" s="961" t="s">
        <v>954</v>
      </c>
      <c r="BP35" s="961" t="s">
        <v>954</v>
      </c>
      <c r="BQ35" s="961" t="s">
        <v>954</v>
      </c>
      <c r="BR35" s="961" t="s">
        <v>954</v>
      </c>
      <c r="BS35" s="961" t="s">
        <v>954</v>
      </c>
      <c r="BT35" s="961" t="s">
        <v>954</v>
      </c>
      <c r="BU35" s="961" t="s">
        <v>954</v>
      </c>
      <c r="BV35" s="961" t="s">
        <v>954</v>
      </c>
      <c r="BW35" s="961" t="s">
        <v>954</v>
      </c>
      <c r="BX35" s="961" t="s">
        <v>954</v>
      </c>
      <c r="BY35" s="961" t="s">
        <v>954</v>
      </c>
      <c r="BZ35" s="961" t="s">
        <v>954</v>
      </c>
    </row>
    <row r="36" spans="1:78" ht="22.5">
      <c r="A36" s="950">
        <v>32</v>
      </c>
      <c r="B36" s="990" t="s">
        <v>2305</v>
      </c>
      <c r="C36" s="952">
        <f>'[1]Biểu 9'!AJ40</f>
        <v>421</v>
      </c>
      <c r="D36" s="953">
        <f>'[1]Biểu 9'!Q40</f>
        <v>5051.06</v>
      </c>
      <c r="E36" s="954">
        <f t="shared" si="0"/>
        <v>0.22499153674832964</v>
      </c>
      <c r="F36" s="967"/>
      <c r="G36" s="968"/>
      <c r="H36" s="969"/>
      <c r="I36" s="969"/>
      <c r="J36" s="970"/>
      <c r="K36" s="970"/>
      <c r="L36" s="970"/>
      <c r="M36" s="970"/>
      <c r="N36" s="970"/>
      <c r="O36" s="970"/>
      <c r="P36" s="970"/>
      <c r="Q36" s="970"/>
      <c r="R36" s="970"/>
      <c r="S36" s="982"/>
      <c r="T36" s="982"/>
      <c r="U36" s="983"/>
      <c r="V36" s="983"/>
      <c r="W36" s="983"/>
      <c r="X36" s="983"/>
      <c r="Y36" s="983"/>
      <c r="Z36" s="983"/>
      <c r="AA36" s="983"/>
      <c r="AB36" s="983"/>
      <c r="AC36" s="982"/>
      <c r="AD36" s="982"/>
      <c r="AE36" s="960"/>
      <c r="AF36" s="960"/>
      <c r="AG36" s="960"/>
      <c r="AH36" s="960"/>
      <c r="AI36" s="960"/>
      <c r="AJ36" s="960"/>
      <c r="AK36" s="960"/>
      <c r="AL36" s="983"/>
      <c r="AM36" s="960"/>
      <c r="AN36" s="960"/>
      <c r="AO36" s="960"/>
      <c r="AP36" s="960"/>
      <c r="AQ36" s="960"/>
      <c r="AR36" s="960"/>
      <c r="AS36" s="960"/>
      <c r="AT36" s="960"/>
      <c r="AU36" s="960"/>
      <c r="AV36" s="960"/>
      <c r="AW36" s="960"/>
      <c r="AX36" s="960"/>
      <c r="AY36" s="960"/>
      <c r="AZ36" s="960"/>
      <c r="BA36" s="960"/>
      <c r="BB36" s="960"/>
      <c r="BC36" s="973"/>
      <c r="BD36" s="988"/>
      <c r="BE36" s="988" t="s">
        <v>2278</v>
      </c>
      <c r="BF36" s="988" t="s">
        <v>2278</v>
      </c>
      <c r="BG36" s="988" t="s">
        <v>2278</v>
      </c>
      <c r="BH36" s="988" t="s">
        <v>2278</v>
      </c>
      <c r="BI36" s="988" t="s">
        <v>2278</v>
      </c>
      <c r="BJ36" s="988" t="s">
        <v>2278</v>
      </c>
      <c r="BK36" s="988" t="s">
        <v>2278</v>
      </c>
      <c r="BL36" s="988" t="s">
        <v>2278</v>
      </c>
      <c r="BM36" s="988" t="s">
        <v>2278</v>
      </c>
      <c r="BN36" s="961" t="s">
        <v>954</v>
      </c>
      <c r="BO36" s="961" t="s">
        <v>954</v>
      </c>
      <c r="BP36" s="961" t="s">
        <v>954</v>
      </c>
      <c r="BQ36" s="961" t="s">
        <v>954</v>
      </c>
      <c r="BR36" s="961" t="s">
        <v>954</v>
      </c>
      <c r="BS36" s="961" t="s">
        <v>954</v>
      </c>
      <c r="BT36" s="961" t="s">
        <v>954</v>
      </c>
      <c r="BU36" s="961" t="s">
        <v>954</v>
      </c>
      <c r="BV36" s="961" t="s">
        <v>954</v>
      </c>
      <c r="BW36" s="961" t="s">
        <v>954</v>
      </c>
      <c r="BX36" s="961" t="s">
        <v>954</v>
      </c>
      <c r="BY36" s="961" t="s">
        <v>954</v>
      </c>
      <c r="BZ36" s="961" t="s">
        <v>954</v>
      </c>
    </row>
    <row r="37" spans="1:78" ht="15.75">
      <c r="A37" s="991"/>
      <c r="B37" s="992"/>
      <c r="C37" s="993">
        <f>SUM(C5:C36)</f>
        <v>11438</v>
      </c>
      <c r="D37" s="994">
        <f>SUM(D5:D36)</f>
        <v>160048.4392245926</v>
      </c>
      <c r="E37" s="995">
        <f>SUM(E5:E35)</f>
        <v>6.904114887509693</v>
      </c>
      <c r="F37" s="996"/>
      <c r="G37" s="973"/>
      <c r="H37" s="973"/>
      <c r="I37" s="973"/>
      <c r="J37" s="973"/>
      <c r="K37" s="973"/>
      <c r="L37" s="973"/>
      <c r="M37" s="973"/>
      <c r="N37" s="973"/>
      <c r="O37" s="973"/>
      <c r="P37" s="973"/>
      <c r="Q37" s="973"/>
      <c r="R37" s="973"/>
      <c r="S37" s="997"/>
      <c r="T37" s="997"/>
      <c r="U37" s="997"/>
      <c r="V37" s="997"/>
      <c r="W37" s="997"/>
      <c r="X37" s="997"/>
      <c r="Y37" s="997"/>
      <c r="Z37" s="997"/>
      <c r="AA37" s="997"/>
      <c r="AB37" s="997"/>
      <c r="AC37" s="997"/>
      <c r="AD37" s="997"/>
      <c r="AE37" s="997"/>
      <c r="AF37" s="997"/>
      <c r="AG37" s="997"/>
      <c r="AH37" s="997"/>
      <c r="AI37" s="997"/>
      <c r="AJ37" s="997"/>
      <c r="AK37" s="997"/>
      <c r="AL37" s="997"/>
      <c r="AM37" s="997"/>
      <c r="AN37" s="997"/>
      <c r="AO37" s="997"/>
      <c r="AP37" s="997"/>
      <c r="AQ37" s="997"/>
      <c r="AR37" s="997"/>
      <c r="AS37" s="997"/>
      <c r="AT37" s="997"/>
      <c r="AU37" s="997"/>
      <c r="AV37" s="997"/>
      <c r="AW37" s="997"/>
      <c r="AX37" s="997"/>
      <c r="AY37" s="997"/>
      <c r="AZ37" s="997"/>
      <c r="BA37" s="997"/>
      <c r="BB37" s="998"/>
      <c r="BC37" s="973"/>
      <c r="BD37" s="988"/>
      <c r="BE37" s="988"/>
      <c r="BF37" s="988"/>
      <c r="BG37" s="988"/>
      <c r="BH37" s="988"/>
      <c r="BI37" s="988"/>
      <c r="BJ37" s="988"/>
      <c r="BK37" s="988"/>
      <c r="BL37" s="988"/>
      <c r="BM37" s="988"/>
      <c r="BN37" s="961"/>
      <c r="BO37" s="961"/>
      <c r="BP37" s="961"/>
      <c r="BQ37" s="961"/>
      <c r="BR37" s="961"/>
      <c r="BS37" s="961"/>
      <c r="BT37" s="961"/>
      <c r="BU37" s="961"/>
      <c r="BV37" s="961"/>
      <c r="BW37" s="961"/>
      <c r="BX37" s="961"/>
      <c r="BY37" s="961"/>
      <c r="BZ37" s="961"/>
    </row>
    <row r="38" spans="1:78" ht="15.75">
      <c r="A38" s="999"/>
      <c r="B38" s="999"/>
      <c r="C38" s="1000"/>
      <c r="D38" s="999"/>
      <c r="E38" s="1001"/>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999"/>
      <c r="AG38" s="999"/>
      <c r="AH38" s="999"/>
      <c r="AI38" s="999"/>
      <c r="AJ38" s="999"/>
      <c r="AK38" s="999"/>
      <c r="AL38" s="999"/>
      <c r="AM38" s="999"/>
      <c r="AN38" s="999"/>
      <c r="AO38" s="999"/>
      <c r="AP38" s="999"/>
      <c r="AQ38" s="999"/>
      <c r="AR38" s="999"/>
      <c r="AS38" s="999"/>
      <c r="AT38" s="999"/>
      <c r="AU38" s="999"/>
      <c r="AV38" s="999"/>
      <c r="AW38" s="999"/>
      <c r="AX38" s="999"/>
      <c r="AY38" s="999"/>
      <c r="AZ38" s="999"/>
      <c r="BA38" s="999"/>
      <c r="BB38" s="999"/>
      <c r="BC38" s="999"/>
      <c r="BD38" s="999"/>
      <c r="BE38" s="999"/>
      <c r="BF38" s="999"/>
      <c r="BG38" s="999"/>
      <c r="BH38" s="999"/>
      <c r="BI38" s="999"/>
      <c r="BJ38" s="999"/>
      <c r="BK38" s="999"/>
      <c r="BL38" s="999"/>
      <c r="BM38" s="999"/>
      <c r="BN38" s="999"/>
      <c r="BO38" s="999"/>
      <c r="BP38" s="999"/>
      <c r="BQ38" s="999"/>
      <c r="BR38" s="999"/>
      <c r="BS38" s="999"/>
      <c r="BT38" s="999"/>
      <c r="BU38" s="999"/>
      <c r="BV38" s="999"/>
      <c r="BW38" s="999"/>
      <c r="BX38" s="999"/>
      <c r="BY38" s="999"/>
      <c r="BZ38" s="999"/>
    </row>
    <row r="39" spans="1:78" ht="15.75">
      <c r="A39" s="999"/>
      <c r="B39" s="1002" t="s">
        <v>2306</v>
      </c>
      <c r="C39" s="999"/>
      <c r="D39" s="999"/>
      <c r="E39" s="1001"/>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999"/>
      <c r="AL39" s="999"/>
      <c r="AM39" s="999"/>
      <c r="AN39" s="999"/>
      <c r="AO39" s="999"/>
      <c r="AP39" s="999"/>
      <c r="AQ39" s="999"/>
      <c r="AR39" s="999"/>
      <c r="AS39" s="999"/>
      <c r="AT39" s="999"/>
      <c r="AU39" s="999"/>
      <c r="AV39" s="999"/>
      <c r="AW39" s="999"/>
      <c r="AX39" s="999"/>
      <c r="AY39" s="999"/>
      <c r="AZ39" s="999"/>
      <c r="BA39" s="999"/>
      <c r="BB39" s="999"/>
      <c r="BC39" s="999"/>
      <c r="BD39" s="999"/>
      <c r="BE39" s="999"/>
      <c r="BF39" s="999"/>
      <c r="BG39" s="999"/>
      <c r="BH39" s="999"/>
      <c r="BI39" s="999"/>
      <c r="BJ39" s="999"/>
      <c r="BK39" s="999"/>
      <c r="BL39" s="999"/>
      <c r="BM39" s="999"/>
      <c r="BN39" s="999"/>
      <c r="BO39" s="999"/>
      <c r="BP39" s="999"/>
      <c r="BQ39" s="999"/>
      <c r="BR39" s="999"/>
      <c r="BS39" s="999"/>
      <c r="BT39" s="999"/>
      <c r="BU39" s="999"/>
      <c r="BV39" s="999"/>
      <c r="BW39" s="999"/>
      <c r="BX39" s="999"/>
      <c r="BY39" s="999"/>
      <c r="BZ39" s="999"/>
    </row>
    <row r="40" spans="1:78" ht="15.75">
      <c r="A40" s="999"/>
      <c r="B40" s="1003" t="s">
        <v>2307</v>
      </c>
      <c r="C40" s="999"/>
      <c r="D40" s="999"/>
      <c r="E40" s="1001"/>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999"/>
      <c r="AF40" s="999"/>
      <c r="AG40" s="999"/>
      <c r="AH40" s="999"/>
      <c r="AI40" s="999"/>
      <c r="AJ40" s="999"/>
      <c r="AK40" s="999"/>
      <c r="AL40" s="999"/>
      <c r="AM40" s="999"/>
      <c r="AN40" s="999"/>
      <c r="AO40" s="999"/>
      <c r="AP40" s="999"/>
      <c r="AQ40" s="999"/>
      <c r="AR40" s="999"/>
      <c r="AS40" s="999"/>
      <c r="AT40" s="999"/>
      <c r="AU40" s="999"/>
      <c r="AV40" s="999"/>
      <c r="AW40" s="999"/>
      <c r="AX40" s="999"/>
      <c r="AY40" s="999"/>
      <c r="AZ40" s="999"/>
      <c r="BA40" s="999"/>
      <c r="BB40" s="999"/>
      <c r="BC40" s="999"/>
      <c r="BD40" s="999"/>
      <c r="BE40" s="999"/>
      <c r="BF40" s="999"/>
      <c r="BG40" s="999"/>
      <c r="BH40" s="999"/>
      <c r="BI40" s="999"/>
      <c r="BJ40" s="999"/>
      <c r="BK40" s="999"/>
      <c r="BL40" s="999"/>
      <c r="BM40" s="999"/>
      <c r="BN40" s="999"/>
      <c r="BO40" s="999"/>
      <c r="BP40" s="999"/>
      <c r="BQ40" s="999"/>
      <c r="BR40" s="999"/>
      <c r="BS40" s="999"/>
      <c r="BT40" s="999"/>
      <c r="BU40" s="999"/>
      <c r="BV40" s="999"/>
      <c r="BW40" s="999"/>
      <c r="BX40" s="999"/>
      <c r="BY40" s="999"/>
      <c r="BZ40" s="999"/>
    </row>
  </sheetData>
  <sheetProtection/>
  <mergeCells count="13">
    <mergeCell ref="G3:R3"/>
    <mergeCell ref="S3:AD3"/>
    <mergeCell ref="AE3:AP3"/>
    <mergeCell ref="BC3:BN3"/>
    <mergeCell ref="A1:BZ1"/>
    <mergeCell ref="A2:BZ2"/>
    <mergeCell ref="BO3:BZ3"/>
    <mergeCell ref="AQ3:BB3"/>
    <mergeCell ref="A3:A4"/>
    <mergeCell ref="B3:B4"/>
    <mergeCell ref="C3:C4"/>
    <mergeCell ref="D3:E3"/>
    <mergeCell ref="F3:F4"/>
  </mergeCells>
  <printOptions horizontalCentered="1"/>
  <pageMargins left="0" right="0" top="0.2755905511811024" bottom="0.07874015748031496" header="0.31496062992125984" footer="0.15748031496062992"/>
  <pageSetup horizontalDpi="600" verticalDpi="600" orientation="landscape" paperSize="9" scale="85" r:id="rId1"/>
</worksheet>
</file>

<file path=xl/worksheets/sheet27.xml><?xml version="1.0" encoding="utf-8"?>
<worksheet xmlns="http://schemas.openxmlformats.org/spreadsheetml/2006/main" xmlns:r="http://schemas.openxmlformats.org/officeDocument/2006/relationships">
  <dimension ref="A1:T63"/>
  <sheetViews>
    <sheetView tabSelected="1" zoomScale="70" zoomScaleNormal="70" zoomScalePageLayoutView="0" workbookViewId="0" topLeftCell="A1">
      <pane xSplit="2" ySplit="5" topLeftCell="C45" activePane="bottomRight" state="frozen"/>
      <selection pane="topLeft" activeCell="A1" sqref="A1"/>
      <selection pane="topRight" activeCell="C1" sqref="C1"/>
      <selection pane="bottomLeft" activeCell="A6" sqref="A6"/>
      <selection pane="bottomRight" activeCell="U46" sqref="U46"/>
    </sheetView>
  </sheetViews>
  <sheetFormatPr defaultColWidth="8.796875" defaultRowHeight="15"/>
  <cols>
    <col min="1" max="1" width="4.09765625" style="628" customWidth="1"/>
    <col min="2" max="2" width="43.19921875" style="628" customWidth="1"/>
    <col min="3" max="3" width="11.69921875" style="1017" customWidth="1"/>
    <col min="4" max="4" width="7.09765625" style="628" customWidth="1"/>
    <col min="5" max="5" width="9" style="628" customWidth="1"/>
    <col min="6" max="6" width="10.3984375" style="628" customWidth="1"/>
    <col min="7" max="7" width="10.19921875" style="628" customWidth="1"/>
    <col min="8" max="8" width="9.69921875" style="628" customWidth="1"/>
    <col min="9" max="9" width="10.19921875" style="628" customWidth="1"/>
    <col min="10" max="10" width="9.69921875" style="628" customWidth="1"/>
    <col min="11" max="11" width="10.8984375" style="1017" customWidth="1"/>
    <col min="12" max="12" width="7.3984375" style="628" customWidth="1"/>
    <col min="13" max="13" width="8.69921875" style="628" customWidth="1"/>
    <col min="14" max="14" width="9.69921875" style="628" customWidth="1"/>
    <col min="15" max="15" width="11" style="628" customWidth="1"/>
    <col min="16" max="16" width="10" style="628" customWidth="1"/>
    <col min="17" max="17" width="10.09765625" style="628" customWidth="1"/>
    <col min="18" max="18" width="10.19921875" style="628" customWidth="1"/>
    <col min="19" max="16384" width="9" style="628" customWidth="1"/>
  </cols>
  <sheetData>
    <row r="1" spans="1:16" ht="25.5" customHeight="1">
      <c r="A1" s="1586" t="s">
        <v>1590</v>
      </c>
      <c r="B1" s="1586"/>
      <c r="C1" s="1586"/>
      <c r="D1" s="1586"/>
      <c r="E1" s="1586"/>
      <c r="F1" s="1586"/>
      <c r="G1" s="1586"/>
      <c r="H1" s="1586"/>
      <c r="I1" s="1586"/>
      <c r="J1" s="1586"/>
      <c r="K1" s="1586"/>
      <c r="L1" s="1586"/>
      <c r="M1" s="1586"/>
      <c r="N1" s="1586"/>
      <c r="O1" s="1586"/>
      <c r="P1" s="1586"/>
    </row>
    <row r="2" spans="1:16" ht="24.75" customHeight="1">
      <c r="A2" s="640" t="s">
        <v>2310</v>
      </c>
      <c r="B2" s="648"/>
      <c r="C2" s="648"/>
      <c r="D2" s="643"/>
      <c r="E2" s="643"/>
      <c r="F2" s="643"/>
      <c r="G2" s="643"/>
      <c r="H2" s="643"/>
      <c r="I2" s="643"/>
      <c r="J2" s="643"/>
      <c r="K2" s="648"/>
      <c r="L2" s="648"/>
      <c r="M2" s="648"/>
      <c r="N2" s="648"/>
      <c r="O2" s="648"/>
      <c r="P2" s="648"/>
    </row>
    <row r="3" spans="1:17" ht="14.25" customHeight="1">
      <c r="A3" s="644"/>
      <c r="B3" s="645"/>
      <c r="C3" s="645"/>
      <c r="D3" s="646"/>
      <c r="E3" s="646"/>
      <c r="F3" s="646"/>
      <c r="G3" s="646"/>
      <c r="H3" s="646"/>
      <c r="I3" s="646"/>
      <c r="J3" s="646"/>
      <c r="K3" s="645"/>
      <c r="L3" s="645"/>
      <c r="N3" s="783"/>
      <c r="O3" s="783"/>
      <c r="P3" s="783"/>
      <c r="Q3" s="783" t="s">
        <v>935</v>
      </c>
    </row>
    <row r="4" spans="1:18" s="728" customFormat="1" ht="20.25" customHeight="1">
      <c r="A4" s="1519"/>
      <c r="B4" s="1519" t="s">
        <v>1181</v>
      </c>
      <c r="C4" s="1588" t="s">
        <v>1237</v>
      </c>
      <c r="D4" s="1589" t="s">
        <v>1163</v>
      </c>
      <c r="E4" s="1589"/>
      <c r="F4" s="1589"/>
      <c r="G4" s="1589"/>
      <c r="H4" s="1589"/>
      <c r="I4" s="1589"/>
      <c r="J4" s="1590"/>
      <c r="K4" s="1524" t="s">
        <v>1363</v>
      </c>
      <c r="L4" s="1524"/>
      <c r="M4" s="1524"/>
      <c r="N4" s="1524"/>
      <c r="O4" s="1524"/>
      <c r="P4" s="1524"/>
      <c r="Q4" s="1524"/>
      <c r="R4" s="1524"/>
    </row>
    <row r="5" spans="1:18" s="728" customFormat="1" ht="73.5" customHeight="1">
      <c r="A5" s="1587"/>
      <c r="B5" s="1587"/>
      <c r="C5" s="729" t="s">
        <v>1168</v>
      </c>
      <c r="D5" s="730" t="s">
        <v>1359</v>
      </c>
      <c r="E5" s="730" t="s">
        <v>1421</v>
      </c>
      <c r="F5" s="730" t="s">
        <v>1433</v>
      </c>
      <c r="G5" s="730" t="s">
        <v>1488</v>
      </c>
      <c r="H5" s="801" t="s">
        <v>1513</v>
      </c>
      <c r="I5" s="802" t="s">
        <v>1566</v>
      </c>
      <c r="J5" s="757" t="s">
        <v>1487</v>
      </c>
      <c r="K5" s="729" t="s">
        <v>1168</v>
      </c>
      <c r="L5" s="730" t="s">
        <v>1359</v>
      </c>
      <c r="M5" s="730" t="s">
        <v>1420</v>
      </c>
      <c r="N5" s="730" t="s">
        <v>1440</v>
      </c>
      <c r="O5" s="730" t="s">
        <v>1488</v>
      </c>
      <c r="P5" s="801" t="s">
        <v>1513</v>
      </c>
      <c r="Q5" s="802" t="s">
        <v>1567</v>
      </c>
      <c r="R5" s="757" t="s">
        <v>1487</v>
      </c>
    </row>
    <row r="6" spans="1:18" ht="19.5" customHeight="1">
      <c r="A6" s="629"/>
      <c r="B6" s="647" t="s">
        <v>1281</v>
      </c>
      <c r="C6" s="1018"/>
      <c r="D6" s="1012"/>
      <c r="E6" s="1012"/>
      <c r="F6" s="1012"/>
      <c r="G6" s="1012"/>
      <c r="H6" s="1012"/>
      <c r="I6" s="1012"/>
      <c r="J6" s="1012"/>
      <c r="K6" s="1018"/>
      <c r="L6" s="1012"/>
      <c r="M6" s="1012"/>
      <c r="N6" s="1012"/>
      <c r="O6" s="1012"/>
      <c r="P6" s="1012"/>
      <c r="Q6" s="1013"/>
      <c r="R6" s="1013"/>
    </row>
    <row r="7" spans="1:18" ht="19.5" customHeight="1">
      <c r="A7" s="609">
        <v>1</v>
      </c>
      <c r="B7" s="610" t="s">
        <v>1387</v>
      </c>
      <c r="C7" s="1209">
        <f>D7+E7+F7+G7+H7+I7+J7</f>
        <v>184244.55784000002</v>
      </c>
      <c r="D7" s="1210">
        <v>0</v>
      </c>
      <c r="E7" s="1210">
        <f aca="true" t="shared" si="0" ref="E7:J7">M7</f>
        <v>7110.885</v>
      </c>
      <c r="F7" s="1210">
        <f t="shared" si="0"/>
        <v>32476.742840000003</v>
      </c>
      <c r="G7" s="1210">
        <f t="shared" si="0"/>
        <v>13058.927</v>
      </c>
      <c r="H7" s="1210">
        <f t="shared" si="0"/>
        <v>73047.86200000001</v>
      </c>
      <c r="I7" s="1210">
        <f t="shared" si="0"/>
        <v>41468.661</v>
      </c>
      <c r="J7" s="1210">
        <f t="shared" si="0"/>
        <v>17081.48</v>
      </c>
      <c r="K7" s="1209">
        <f>L7+M7+N7+O7+P7+Q7+R7</f>
        <v>184244.55784000002</v>
      </c>
      <c r="L7" s="1210">
        <f>L16+L22+L27</f>
        <v>0</v>
      </c>
      <c r="M7" s="1210">
        <f aca="true" t="shared" si="1" ref="M7:R7">M16+M22+M27</f>
        <v>7110.885</v>
      </c>
      <c r="N7" s="1210">
        <f t="shared" si="1"/>
        <v>32476.742840000003</v>
      </c>
      <c r="O7" s="1210">
        <f t="shared" si="1"/>
        <v>13058.927</v>
      </c>
      <c r="P7" s="1210">
        <f t="shared" si="1"/>
        <v>73047.86200000001</v>
      </c>
      <c r="Q7" s="1210">
        <f t="shared" si="1"/>
        <v>41468.661</v>
      </c>
      <c r="R7" s="1210">
        <f t="shared" si="1"/>
        <v>17081.48</v>
      </c>
    </row>
    <row r="8" spans="1:18" ht="19.5" customHeight="1">
      <c r="A8" s="609">
        <v>2</v>
      </c>
      <c r="B8" s="610" t="s">
        <v>1283</v>
      </c>
      <c r="C8" s="608"/>
      <c r="D8" s="609"/>
      <c r="E8" s="609"/>
      <c r="F8" s="609"/>
      <c r="G8" s="609"/>
      <c r="H8" s="609"/>
      <c r="I8" s="609"/>
      <c r="J8" s="609"/>
      <c r="K8" s="608"/>
      <c r="L8" s="609"/>
      <c r="M8" s="609"/>
      <c r="N8" s="609"/>
      <c r="O8" s="609"/>
      <c r="P8" s="609"/>
      <c r="Q8" s="607"/>
      <c r="R8" s="607"/>
    </row>
    <row r="9" spans="1:18" ht="19.5" customHeight="1">
      <c r="A9" s="609">
        <v>3</v>
      </c>
      <c r="B9" s="610" t="s">
        <v>1284</v>
      </c>
      <c r="C9" s="1209"/>
      <c r="D9" s="609"/>
      <c r="E9" s="609"/>
      <c r="F9" s="609"/>
      <c r="G9" s="609"/>
      <c r="H9" s="609"/>
      <c r="I9" s="609"/>
      <c r="J9" s="609"/>
      <c r="K9" s="608"/>
      <c r="L9" s="609"/>
      <c r="M9" s="609"/>
      <c r="N9" s="609"/>
      <c r="O9" s="609"/>
      <c r="P9" s="609"/>
      <c r="Q9" s="607"/>
      <c r="R9" s="607"/>
    </row>
    <row r="10" spans="1:18" s="797" customFormat="1" ht="19.5" customHeight="1">
      <c r="A10" s="803" t="s">
        <v>954</v>
      </c>
      <c r="B10" s="794" t="s">
        <v>1516</v>
      </c>
      <c r="C10" s="1211">
        <f>D10+E10+F10+G10+H10+I10+J10</f>
        <v>6888.572</v>
      </c>
      <c r="D10" s="1212">
        <v>455</v>
      </c>
      <c r="E10" s="1212">
        <v>500</v>
      </c>
      <c r="F10" s="1212">
        <v>500</v>
      </c>
      <c r="G10" s="1212">
        <f>2850-690</f>
        <v>2160</v>
      </c>
      <c r="H10" s="1212">
        <v>1432.411</v>
      </c>
      <c r="I10" s="1212">
        <v>411.961</v>
      </c>
      <c r="J10" s="795">
        <v>1429.2</v>
      </c>
      <c r="K10" s="793"/>
      <c r="L10" s="795"/>
      <c r="M10" s="795"/>
      <c r="N10" s="795"/>
      <c r="O10" s="795"/>
      <c r="P10" s="795"/>
      <c r="Q10" s="796"/>
      <c r="R10" s="796"/>
    </row>
    <row r="11" spans="1:18" s="797" customFormat="1" ht="19.5" customHeight="1">
      <c r="A11" s="803" t="s">
        <v>954</v>
      </c>
      <c r="B11" s="794" t="s">
        <v>1519</v>
      </c>
      <c r="C11" s="1211">
        <f>D11+E11+F11+G11+H11+I11+J11</f>
        <v>4859.8099999999995</v>
      </c>
      <c r="D11" s="795"/>
      <c r="E11" s="795"/>
      <c r="F11" s="795"/>
      <c r="G11" s="795"/>
      <c r="H11" s="1213"/>
      <c r="I11" s="1213">
        <f>I27+I23</f>
        <v>2714.81</v>
      </c>
      <c r="J11" s="1214">
        <f>J27+J23</f>
        <v>2145</v>
      </c>
      <c r="K11" s="793"/>
      <c r="L11" s="795"/>
      <c r="M11" s="795"/>
      <c r="N11" s="795"/>
      <c r="O11" s="795"/>
      <c r="P11" s="795"/>
      <c r="Q11" s="796"/>
      <c r="R11" s="796"/>
    </row>
    <row r="12" spans="1:18" ht="19.5" customHeight="1">
      <c r="A12" s="609">
        <v>4</v>
      </c>
      <c r="B12" s="610" t="s">
        <v>2308</v>
      </c>
      <c r="C12" s="1211">
        <f>D12+E12+F12+G12+H12+I12+J12</f>
        <v>7904.977</v>
      </c>
      <c r="D12" s="1215">
        <f aca="true" t="shared" si="2" ref="D12:I12">D20-D10</f>
        <v>0</v>
      </c>
      <c r="E12" s="1215">
        <f t="shared" si="2"/>
        <v>0</v>
      </c>
      <c r="F12" s="1215">
        <f t="shared" si="2"/>
        <v>0</v>
      </c>
      <c r="G12" s="1215">
        <f t="shared" si="2"/>
        <v>0</v>
      </c>
      <c r="H12" s="1215">
        <f t="shared" si="2"/>
        <v>6069.733</v>
      </c>
      <c r="I12" s="1215">
        <f t="shared" si="2"/>
        <v>1835.244</v>
      </c>
      <c r="J12" s="1153"/>
      <c r="K12" s="1216"/>
      <c r="L12" s="609"/>
      <c r="M12" s="609"/>
      <c r="N12" s="609"/>
      <c r="O12" s="609"/>
      <c r="P12" s="609"/>
      <c r="Q12" s="607"/>
      <c r="R12" s="607"/>
    </row>
    <row r="13" spans="1:18" ht="19.5" customHeight="1">
      <c r="A13" s="609">
        <v>5</v>
      </c>
      <c r="B13" s="610" t="s">
        <v>1282</v>
      </c>
      <c r="C13" s="1209"/>
      <c r="D13" s="609"/>
      <c r="E13" s="1210"/>
      <c r="F13" s="1210"/>
      <c r="G13" s="609"/>
      <c r="H13" s="609"/>
      <c r="I13" s="1210"/>
      <c r="J13" s="609"/>
      <c r="K13" s="608"/>
      <c r="L13" s="609"/>
      <c r="M13" s="609"/>
      <c r="N13" s="609"/>
      <c r="O13" s="609"/>
      <c r="P13" s="609"/>
      <c r="Q13" s="607"/>
      <c r="R13" s="607"/>
    </row>
    <row r="14" spans="1:18" ht="19.5" customHeight="1">
      <c r="A14" s="745"/>
      <c r="B14" s="745" t="s">
        <v>1165</v>
      </c>
      <c r="C14" s="1217">
        <f>SUM(C7:C13)</f>
        <v>203897.91684000002</v>
      </c>
      <c r="D14" s="1218"/>
      <c r="E14" s="1219"/>
      <c r="F14" s="1218"/>
      <c r="G14" s="1220"/>
      <c r="H14" s="1220"/>
      <c r="I14" s="1220"/>
      <c r="J14" s="1218"/>
      <c r="K14" s="1221"/>
      <c r="L14" s="1218"/>
      <c r="M14" s="1218"/>
      <c r="N14" s="1218"/>
      <c r="O14" s="1218"/>
      <c r="P14" s="1218"/>
      <c r="Q14" s="1222"/>
      <c r="R14" s="1222"/>
    </row>
    <row r="15" spans="1:18" ht="19.5" customHeight="1">
      <c r="A15" s="635"/>
      <c r="B15" s="606" t="s">
        <v>1285</v>
      </c>
      <c r="C15" s="635"/>
      <c r="D15" s="634"/>
      <c r="E15" s="634"/>
      <c r="F15" s="634"/>
      <c r="G15" s="634"/>
      <c r="H15" s="634"/>
      <c r="I15" s="634"/>
      <c r="J15" s="634"/>
      <c r="K15" s="634"/>
      <c r="L15" s="1218"/>
      <c r="M15" s="1218"/>
      <c r="N15" s="1218"/>
      <c r="O15" s="1218"/>
      <c r="P15" s="1218"/>
      <c r="Q15" s="755"/>
      <c r="R15" s="755"/>
    </row>
    <row r="16" spans="1:18" ht="22.5" customHeight="1">
      <c r="A16" s="629" t="s">
        <v>486</v>
      </c>
      <c r="B16" s="642" t="s">
        <v>1182</v>
      </c>
      <c r="C16" s="1223">
        <f aca="true" t="shared" si="3" ref="C16:R16">C17+C21</f>
        <v>182359.46600000001</v>
      </c>
      <c r="D16" s="1224">
        <f t="shared" si="3"/>
        <v>455</v>
      </c>
      <c r="E16" s="1224">
        <f t="shared" si="3"/>
        <v>5213.926</v>
      </c>
      <c r="F16" s="1224">
        <f t="shared" si="3"/>
        <v>29470.9</v>
      </c>
      <c r="G16" s="1224">
        <f t="shared" si="3"/>
        <v>12240.132000000001</v>
      </c>
      <c r="H16" s="1224">
        <f t="shared" si="3"/>
        <v>72752.942</v>
      </c>
      <c r="I16" s="1224">
        <f t="shared" si="3"/>
        <v>43715.866</v>
      </c>
      <c r="J16" s="1224">
        <f>J17+J21</f>
        <v>18510.7</v>
      </c>
      <c r="K16" s="1224">
        <f t="shared" si="3"/>
        <v>167565.897</v>
      </c>
      <c r="L16" s="1224">
        <f t="shared" si="3"/>
        <v>0</v>
      </c>
      <c r="M16" s="1224">
        <f t="shared" si="3"/>
        <v>4713.926</v>
      </c>
      <c r="N16" s="1224">
        <f t="shared" si="3"/>
        <v>28970.9</v>
      </c>
      <c r="O16" s="1224">
        <f t="shared" si="3"/>
        <v>10080.132</v>
      </c>
      <c r="P16" s="1224">
        <f t="shared" si="3"/>
        <v>65250.798</v>
      </c>
      <c r="Q16" s="1224">
        <f t="shared" si="3"/>
        <v>41468.661</v>
      </c>
      <c r="R16" s="1224">
        <f t="shared" si="3"/>
        <v>17081.48</v>
      </c>
    </row>
    <row r="17" spans="1:18" ht="22.5" customHeight="1">
      <c r="A17" s="609">
        <v>1</v>
      </c>
      <c r="B17" s="610" t="s">
        <v>1183</v>
      </c>
      <c r="C17" s="1223">
        <f>SUM(D17:J17)</f>
        <v>147928.837</v>
      </c>
      <c r="D17" s="1225">
        <v>455</v>
      </c>
      <c r="E17" s="1225">
        <f aca="true" t="shared" si="4" ref="E17:J17">E18+E19+E20</f>
        <v>5213.926</v>
      </c>
      <c r="F17" s="1225">
        <f t="shared" si="4"/>
        <v>28625</v>
      </c>
      <c r="G17" s="1225">
        <f t="shared" si="4"/>
        <v>8906.862000000001</v>
      </c>
      <c r="H17" s="1225">
        <f t="shared" si="4"/>
        <v>68549.144</v>
      </c>
      <c r="I17" s="1225">
        <f t="shared" si="4"/>
        <v>32235.205</v>
      </c>
      <c r="J17" s="1225">
        <f t="shared" si="4"/>
        <v>3943.7</v>
      </c>
      <c r="K17" s="1226">
        <f>M17+N17+O17+P17+Q17+R17</f>
        <v>133135.268</v>
      </c>
      <c r="L17" s="756"/>
      <c r="M17" s="1225">
        <f aca="true" t="shared" si="5" ref="M17:R17">M18+M19+M20</f>
        <v>4713.926</v>
      </c>
      <c r="N17" s="1225">
        <f t="shared" si="5"/>
        <v>28125</v>
      </c>
      <c r="O17" s="1225">
        <f t="shared" si="5"/>
        <v>6746.862</v>
      </c>
      <c r="P17" s="1225">
        <f t="shared" si="5"/>
        <v>61047</v>
      </c>
      <c r="Q17" s="1225">
        <f t="shared" si="5"/>
        <v>29988</v>
      </c>
      <c r="R17" s="1225">
        <f t="shared" si="5"/>
        <v>2514.4799999999996</v>
      </c>
    </row>
    <row r="18" spans="1:18" ht="22.5" customHeight="1">
      <c r="A18" s="756" t="s">
        <v>954</v>
      </c>
      <c r="B18" s="610" t="s">
        <v>1458</v>
      </c>
      <c r="C18" s="1223">
        <f aca="true" t="shared" si="6" ref="C18:C58">SUM(D18:J18)</f>
        <v>118342.425</v>
      </c>
      <c r="D18" s="1227"/>
      <c r="E18" s="1227">
        <v>4189.934</v>
      </c>
      <c r="F18" s="1227">
        <v>25000</v>
      </c>
      <c r="G18" s="1227">
        <v>5997.211</v>
      </c>
      <c r="H18" s="1227">
        <v>54264</v>
      </c>
      <c r="I18" s="1227">
        <v>26656</v>
      </c>
      <c r="J18" s="1227">
        <f>2036-1080.5+1279.78</f>
        <v>2235.2799999999997</v>
      </c>
      <c r="K18" s="1226">
        <f>M18+N18+O18+P18+Q18+R18</f>
        <v>118342.425</v>
      </c>
      <c r="L18" s="1228"/>
      <c r="M18" s="1227">
        <v>4189.934</v>
      </c>
      <c r="N18" s="1227">
        <v>25000</v>
      </c>
      <c r="O18" s="1227">
        <v>5997.211</v>
      </c>
      <c r="P18" s="1227">
        <v>54264</v>
      </c>
      <c r="Q18" s="1227">
        <v>26656</v>
      </c>
      <c r="R18" s="1227">
        <f>2036-1080.5+1279.78</f>
        <v>2235.2799999999997</v>
      </c>
    </row>
    <row r="19" spans="1:18" ht="22.5" customHeight="1">
      <c r="A19" s="756" t="s">
        <v>954</v>
      </c>
      <c r="B19" s="610" t="s">
        <v>990</v>
      </c>
      <c r="C19" s="1223">
        <f t="shared" si="6"/>
        <v>14792.843</v>
      </c>
      <c r="D19" s="756"/>
      <c r="E19" s="1227">
        <v>523.992</v>
      </c>
      <c r="F19" s="1227">
        <v>3125</v>
      </c>
      <c r="G19" s="1227">
        <v>749.651</v>
      </c>
      <c r="H19" s="1227">
        <v>6783</v>
      </c>
      <c r="I19" s="1227">
        <v>3332</v>
      </c>
      <c r="J19" s="1227">
        <f>119.3+159.9</f>
        <v>279.2</v>
      </c>
      <c r="K19" s="1226">
        <f>M19+N19+O19+P19+Q19+R19</f>
        <v>14792.843</v>
      </c>
      <c r="L19" s="756"/>
      <c r="M19" s="1227">
        <v>523.992</v>
      </c>
      <c r="N19" s="1227">
        <v>3125</v>
      </c>
      <c r="O19" s="1227">
        <v>749.651</v>
      </c>
      <c r="P19" s="1227">
        <v>6783</v>
      </c>
      <c r="Q19" s="1227">
        <v>3332</v>
      </c>
      <c r="R19" s="1227">
        <f>119.3+159.9</f>
        <v>279.2</v>
      </c>
    </row>
    <row r="20" spans="1:18" ht="22.5" customHeight="1">
      <c r="A20" s="756" t="s">
        <v>954</v>
      </c>
      <c r="B20" s="610" t="s">
        <v>2309</v>
      </c>
      <c r="C20" s="1223">
        <f t="shared" si="6"/>
        <v>14793.569</v>
      </c>
      <c r="D20" s="1229">
        <v>455</v>
      </c>
      <c r="E20" s="1229">
        <v>500</v>
      </c>
      <c r="F20" s="1229">
        <v>500</v>
      </c>
      <c r="G20" s="1229">
        <v>2160</v>
      </c>
      <c r="H20" s="1229">
        <v>7502.144</v>
      </c>
      <c r="I20" s="1229">
        <v>2247.205</v>
      </c>
      <c r="J20" s="1229">
        <f>3943.7-J19-J18</f>
        <v>1429.2200000000003</v>
      </c>
      <c r="K20" s="1226"/>
      <c r="L20" s="756"/>
      <c r="M20" s="756"/>
      <c r="N20" s="756"/>
      <c r="O20" s="756"/>
      <c r="P20" s="756"/>
      <c r="Q20" s="756"/>
      <c r="R20" s="756"/>
    </row>
    <row r="21" spans="1:18" ht="22.5" customHeight="1">
      <c r="A21" s="609">
        <v>2</v>
      </c>
      <c r="B21" s="610" t="s">
        <v>1184</v>
      </c>
      <c r="C21" s="1223">
        <f t="shared" si="6"/>
        <v>34430.629</v>
      </c>
      <c r="D21" s="756"/>
      <c r="E21" s="756">
        <v>0</v>
      </c>
      <c r="F21" s="1229">
        <v>845.9</v>
      </c>
      <c r="G21" s="1229">
        <v>3333.27</v>
      </c>
      <c r="H21" s="1229">
        <v>4203.798</v>
      </c>
      <c r="I21" s="1229">
        <v>11480.661</v>
      </c>
      <c r="J21" s="1229">
        <v>14567</v>
      </c>
      <c r="K21" s="1226">
        <f>M21+N21+O21+P21+Q21+R21</f>
        <v>34430.629</v>
      </c>
      <c r="L21" s="1229"/>
      <c r="M21" s="1229">
        <v>0</v>
      </c>
      <c r="N21" s="1230">
        <v>845.9</v>
      </c>
      <c r="O21" s="1230">
        <v>3333.27</v>
      </c>
      <c r="P21" s="1230">
        <v>4203.798</v>
      </c>
      <c r="Q21" s="1230">
        <v>11480.661</v>
      </c>
      <c r="R21" s="1230">
        <v>14567</v>
      </c>
    </row>
    <row r="22" spans="1:18" ht="22.5" customHeight="1">
      <c r="A22" s="608" t="s">
        <v>484</v>
      </c>
      <c r="B22" s="642" t="s">
        <v>1185</v>
      </c>
      <c r="C22" s="1223">
        <f>SUM(D22:J22)</f>
        <v>9178.46</v>
      </c>
      <c r="D22" s="1231"/>
      <c r="E22" s="1223">
        <f aca="true" t="shared" si="7" ref="E22:R22">E23+E26</f>
        <v>690.75</v>
      </c>
      <c r="F22" s="1223">
        <f t="shared" si="7"/>
        <v>2326.161</v>
      </c>
      <c r="G22" s="1223">
        <f t="shared" si="7"/>
        <v>1149.125</v>
      </c>
      <c r="H22" s="1223">
        <f t="shared" si="7"/>
        <v>3527.424</v>
      </c>
      <c r="I22" s="1223">
        <f t="shared" si="7"/>
        <v>1260</v>
      </c>
      <c r="J22" s="1223">
        <f t="shared" si="7"/>
        <v>225</v>
      </c>
      <c r="K22" s="1223">
        <f t="shared" si="7"/>
        <v>7693.46</v>
      </c>
      <c r="L22" s="1223">
        <f t="shared" si="7"/>
        <v>0</v>
      </c>
      <c r="M22" s="1223">
        <f t="shared" si="7"/>
        <v>690.75</v>
      </c>
      <c r="N22" s="1223">
        <f t="shared" si="7"/>
        <v>2326.161</v>
      </c>
      <c r="O22" s="1223">
        <f t="shared" si="7"/>
        <v>1149.125</v>
      </c>
      <c r="P22" s="1223">
        <f t="shared" si="7"/>
        <v>3527.424</v>
      </c>
      <c r="Q22" s="1223">
        <f t="shared" si="7"/>
        <v>0</v>
      </c>
      <c r="R22" s="1223">
        <f t="shared" si="7"/>
        <v>0</v>
      </c>
    </row>
    <row r="23" spans="1:20" ht="22.5" customHeight="1">
      <c r="A23" s="609">
        <v>1</v>
      </c>
      <c r="B23" s="610" t="s">
        <v>2314</v>
      </c>
      <c r="C23" s="1223">
        <f t="shared" si="6"/>
        <v>5718.375</v>
      </c>
      <c r="D23" s="1231"/>
      <c r="E23" s="1232">
        <v>690.75</v>
      </c>
      <c r="F23" s="1232">
        <v>393.75</v>
      </c>
      <c r="G23" s="1232">
        <v>649.125</v>
      </c>
      <c r="H23" s="1232">
        <v>2499.75</v>
      </c>
      <c r="I23" s="1232">
        <f>I25</f>
        <v>1260</v>
      </c>
      <c r="J23" s="756">
        <v>225</v>
      </c>
      <c r="K23" s="1233">
        <f>M23+N23+O23+P23</f>
        <v>4233.375</v>
      </c>
      <c r="L23" s="1231"/>
      <c r="M23" s="1234">
        <v>690.75</v>
      </c>
      <c r="N23" s="1234">
        <v>393.75</v>
      </c>
      <c r="O23" s="1234">
        <v>649.125</v>
      </c>
      <c r="P23" s="1234">
        <v>2499.75</v>
      </c>
      <c r="Q23" s="756"/>
      <c r="R23" s="756"/>
      <c r="T23" s="1176"/>
    </row>
    <row r="24" spans="1:18" ht="22.5" customHeight="1">
      <c r="A24" s="803" t="s">
        <v>954</v>
      </c>
      <c r="B24" s="794" t="s">
        <v>1517</v>
      </c>
      <c r="C24" s="1223">
        <f t="shared" si="6"/>
        <v>4233.375</v>
      </c>
      <c r="D24" s="1231"/>
      <c r="E24" s="1232">
        <v>690.75</v>
      </c>
      <c r="F24" s="1232">
        <v>393.75</v>
      </c>
      <c r="G24" s="1232">
        <v>649.125</v>
      </c>
      <c r="H24" s="1232">
        <v>2499.75</v>
      </c>
      <c r="I24" s="1232"/>
      <c r="J24" s="756"/>
      <c r="K24" s="1233">
        <f>M24+N24+O24+P24</f>
        <v>4233.375</v>
      </c>
      <c r="L24" s="1231"/>
      <c r="M24" s="1234">
        <v>690.75</v>
      </c>
      <c r="N24" s="1234">
        <v>393.75</v>
      </c>
      <c r="O24" s="1234">
        <v>649.125</v>
      </c>
      <c r="P24" s="1234">
        <v>2499.75</v>
      </c>
      <c r="Q24" s="756"/>
      <c r="R24" s="756"/>
    </row>
    <row r="25" spans="1:18" ht="22.5" customHeight="1">
      <c r="A25" s="803" t="s">
        <v>954</v>
      </c>
      <c r="B25" s="794" t="s">
        <v>1581</v>
      </c>
      <c r="C25" s="1223">
        <f t="shared" si="6"/>
        <v>1485</v>
      </c>
      <c r="D25" s="756"/>
      <c r="E25" s="756">
        <v>0</v>
      </c>
      <c r="F25" s="756">
        <v>0</v>
      </c>
      <c r="G25" s="756">
        <v>0</v>
      </c>
      <c r="H25" s="756">
        <v>0</v>
      </c>
      <c r="I25" s="1232">
        <v>1260</v>
      </c>
      <c r="J25" s="756">
        <v>225</v>
      </c>
      <c r="K25" s="1233">
        <f>M25+N25+O25+P25</f>
        <v>0</v>
      </c>
      <c r="L25" s="1231"/>
      <c r="M25" s="756">
        <v>0</v>
      </c>
      <c r="N25" s="756">
        <v>0</v>
      </c>
      <c r="O25" s="756">
        <v>0</v>
      </c>
      <c r="P25" s="756">
        <v>0</v>
      </c>
      <c r="Q25" s="756"/>
      <c r="R25" s="756"/>
    </row>
    <row r="26" spans="1:18" ht="22.5" customHeight="1">
      <c r="A26" s="609">
        <v>2</v>
      </c>
      <c r="B26" s="610" t="s">
        <v>1186</v>
      </c>
      <c r="C26" s="1223">
        <f t="shared" si="6"/>
        <v>3460.085</v>
      </c>
      <c r="D26" s="756"/>
      <c r="E26" s="1235"/>
      <c r="F26" s="1235">
        <v>1932.411</v>
      </c>
      <c r="G26" s="1235">
        <v>500</v>
      </c>
      <c r="H26" s="1235">
        <f>41.414+986.26</f>
        <v>1027.674</v>
      </c>
      <c r="I26" s="1236">
        <v>0</v>
      </c>
      <c r="J26" s="1237">
        <v>0</v>
      </c>
      <c r="K26" s="1238">
        <f>SUM(L26:R26)</f>
        <v>3460.085</v>
      </c>
      <c r="L26" s="1239">
        <v>0</v>
      </c>
      <c r="M26" s="1239"/>
      <c r="N26" s="1235">
        <v>1932.411</v>
      </c>
      <c r="O26" s="1235">
        <v>500</v>
      </c>
      <c r="P26" s="1235">
        <f>41.414+986.26</f>
        <v>1027.674</v>
      </c>
      <c r="Q26" s="1235">
        <v>0</v>
      </c>
      <c r="R26" s="1237">
        <f>J26</f>
        <v>0</v>
      </c>
    </row>
    <row r="27" spans="1:18" ht="36.75" customHeight="1">
      <c r="A27" s="804" t="s">
        <v>496</v>
      </c>
      <c r="B27" s="805" t="s">
        <v>1583</v>
      </c>
      <c r="C27" s="1223">
        <f t="shared" si="6"/>
        <v>12360.010839999999</v>
      </c>
      <c r="D27" s="756"/>
      <c r="E27" s="1240">
        <f aca="true" t="shared" si="8" ref="E27:J27">E28+E39+E49</f>
        <v>1706.209</v>
      </c>
      <c r="F27" s="1240">
        <f t="shared" si="8"/>
        <v>1179.68184</v>
      </c>
      <c r="G27" s="1240">
        <f t="shared" si="8"/>
        <v>1829.67</v>
      </c>
      <c r="H27" s="1240">
        <f t="shared" si="8"/>
        <v>4269.639999999999</v>
      </c>
      <c r="I27" s="1240">
        <f t="shared" si="8"/>
        <v>1454.81</v>
      </c>
      <c r="J27" s="1240">
        <f t="shared" si="8"/>
        <v>1920</v>
      </c>
      <c r="K27" s="1240">
        <f aca="true" t="shared" si="9" ref="K27:R27">K28+K39+K49</f>
        <v>8985.200840000001</v>
      </c>
      <c r="L27" s="1240">
        <f t="shared" si="9"/>
        <v>0</v>
      </c>
      <c r="M27" s="1240">
        <f t="shared" si="9"/>
        <v>1706.209</v>
      </c>
      <c r="N27" s="1240">
        <f t="shared" si="9"/>
        <v>1179.68184</v>
      </c>
      <c r="O27" s="1240">
        <f t="shared" si="9"/>
        <v>1829.67</v>
      </c>
      <c r="P27" s="1240">
        <f t="shared" si="9"/>
        <v>4269.639999999999</v>
      </c>
      <c r="Q27" s="1240">
        <f t="shared" si="9"/>
        <v>0</v>
      </c>
      <c r="R27" s="1240">
        <f t="shared" si="9"/>
        <v>0</v>
      </c>
    </row>
    <row r="28" spans="1:18" ht="24" customHeight="1">
      <c r="A28" s="795">
        <v>1</v>
      </c>
      <c r="B28" s="806" t="s">
        <v>1582</v>
      </c>
      <c r="C28" s="1223">
        <f t="shared" si="6"/>
        <v>8729</v>
      </c>
      <c r="D28" s="756"/>
      <c r="E28" s="1240">
        <f aca="true" t="shared" si="10" ref="E28:J28">SUM(E29:E38)</f>
        <v>1234</v>
      </c>
      <c r="F28" s="1240">
        <f t="shared" si="10"/>
        <v>806</v>
      </c>
      <c r="G28" s="1240">
        <f t="shared" si="10"/>
        <v>1318</v>
      </c>
      <c r="H28" s="1240">
        <f t="shared" si="10"/>
        <v>3129</v>
      </c>
      <c r="I28" s="1240">
        <f t="shared" si="10"/>
        <v>907</v>
      </c>
      <c r="J28" s="1240">
        <f t="shared" si="10"/>
        <v>1335</v>
      </c>
      <c r="K28" s="1241">
        <f>M28+N28+O28+P28</f>
        <v>6487</v>
      </c>
      <c r="L28" s="1242"/>
      <c r="M28" s="1240">
        <f>SUM(M29:M38)</f>
        <v>1234</v>
      </c>
      <c r="N28" s="1240">
        <f>SUM(N29:N38)</f>
        <v>806</v>
      </c>
      <c r="O28" s="1240">
        <f>SUM(O29:O38)</f>
        <v>1318</v>
      </c>
      <c r="P28" s="1240">
        <f>SUM(P29:P38)</f>
        <v>3129</v>
      </c>
      <c r="Q28" s="1243"/>
      <c r="R28" s="1243"/>
    </row>
    <row r="29" spans="1:18" ht="21" customHeight="1">
      <c r="A29" s="795" t="s">
        <v>962</v>
      </c>
      <c r="B29" s="794" t="s">
        <v>1355</v>
      </c>
      <c r="C29" s="1223">
        <f t="shared" si="6"/>
        <v>0</v>
      </c>
      <c r="D29" s="756"/>
      <c r="E29" s="1244"/>
      <c r="F29" s="1244"/>
      <c r="G29" s="1244"/>
      <c r="H29" s="1244"/>
      <c r="I29" s="1243"/>
      <c r="J29" s="1243"/>
      <c r="K29" s="1241">
        <f aca="true" t="shared" si="11" ref="K29:K58">M29+N29+O29+P29</f>
        <v>0</v>
      </c>
      <c r="L29" s="1243"/>
      <c r="M29" s="1245"/>
      <c r="N29" s="1245"/>
      <c r="O29" s="1245"/>
      <c r="P29" s="1245"/>
      <c r="Q29" s="1243"/>
      <c r="R29" s="1243"/>
    </row>
    <row r="30" spans="1:18" ht="21" customHeight="1">
      <c r="A30" s="803" t="s">
        <v>954</v>
      </c>
      <c r="B30" s="794" t="s">
        <v>1517</v>
      </c>
      <c r="C30" s="1223">
        <f t="shared" si="6"/>
        <v>2405</v>
      </c>
      <c r="D30" s="756"/>
      <c r="E30" s="1244">
        <v>385</v>
      </c>
      <c r="F30" s="1244">
        <v>201</v>
      </c>
      <c r="G30" s="1244">
        <v>419</v>
      </c>
      <c r="H30" s="1244">
        <v>1400</v>
      </c>
      <c r="I30" s="1243">
        <v>0</v>
      </c>
      <c r="J30" s="1243"/>
      <c r="K30" s="1241">
        <f t="shared" si="11"/>
        <v>2405</v>
      </c>
      <c r="L30" s="1243"/>
      <c r="M30" s="1244">
        <v>385</v>
      </c>
      <c r="N30" s="1244">
        <v>201</v>
      </c>
      <c r="O30" s="1244">
        <v>419</v>
      </c>
      <c r="P30" s="1244">
        <v>1400</v>
      </c>
      <c r="Q30" s="1243"/>
      <c r="R30" s="1243"/>
    </row>
    <row r="31" spans="1:18" ht="23.25" customHeight="1">
      <c r="A31" s="803" t="s">
        <v>954</v>
      </c>
      <c r="B31" s="794" t="s">
        <v>1581</v>
      </c>
      <c r="C31" s="1223">
        <f t="shared" si="6"/>
        <v>502</v>
      </c>
      <c r="D31" s="756"/>
      <c r="E31" s="1243">
        <v>0</v>
      </c>
      <c r="F31" s="1243">
        <v>0</v>
      </c>
      <c r="G31" s="1243">
        <v>0</v>
      </c>
      <c r="H31" s="1243">
        <v>0</v>
      </c>
      <c r="I31" s="1246">
        <v>202</v>
      </c>
      <c r="J31" s="1243">
        <v>300</v>
      </c>
      <c r="K31" s="1241">
        <f t="shared" si="11"/>
        <v>0</v>
      </c>
      <c r="L31" s="1243"/>
      <c r="M31" s="1243"/>
      <c r="N31" s="1243"/>
      <c r="O31" s="1243"/>
      <c r="P31" s="1243"/>
      <c r="Q31" s="1243"/>
      <c r="R31" s="1243"/>
    </row>
    <row r="32" spans="1:18" ht="23.25" customHeight="1">
      <c r="A32" s="795" t="s">
        <v>963</v>
      </c>
      <c r="B32" s="794" t="s">
        <v>1354</v>
      </c>
      <c r="C32" s="1223">
        <f t="shared" si="6"/>
        <v>0</v>
      </c>
      <c r="D32" s="756"/>
      <c r="E32" s="1244"/>
      <c r="F32" s="1244"/>
      <c r="G32" s="1244"/>
      <c r="H32" s="1244"/>
      <c r="I32" s="1243"/>
      <c r="J32" s="1243"/>
      <c r="K32" s="1241">
        <f t="shared" si="11"/>
        <v>0</v>
      </c>
      <c r="L32" s="1243"/>
      <c r="M32" s="1244"/>
      <c r="N32" s="1244"/>
      <c r="O32" s="1244"/>
      <c r="P32" s="1244"/>
      <c r="Q32" s="1243"/>
      <c r="R32" s="1243"/>
    </row>
    <row r="33" spans="1:18" ht="23.25" customHeight="1">
      <c r="A33" s="803" t="s">
        <v>954</v>
      </c>
      <c r="B33" s="794" t="s">
        <v>1517</v>
      </c>
      <c r="C33" s="1223">
        <f t="shared" si="6"/>
        <v>2392</v>
      </c>
      <c r="D33" s="756"/>
      <c r="E33" s="1244">
        <v>574</v>
      </c>
      <c r="F33" s="1244">
        <v>250</v>
      </c>
      <c r="G33" s="1244">
        <v>443</v>
      </c>
      <c r="H33" s="1244">
        <v>1125</v>
      </c>
      <c r="I33" s="1243">
        <v>0</v>
      </c>
      <c r="J33" s="1243"/>
      <c r="K33" s="1241">
        <f t="shared" si="11"/>
        <v>2392</v>
      </c>
      <c r="L33" s="1243"/>
      <c r="M33" s="1244">
        <v>574</v>
      </c>
      <c r="N33" s="1244">
        <v>250</v>
      </c>
      <c r="O33" s="1244">
        <v>443</v>
      </c>
      <c r="P33" s="1244">
        <v>1125</v>
      </c>
      <c r="Q33" s="1243"/>
      <c r="R33" s="1243"/>
    </row>
    <row r="34" spans="1:18" ht="23.25" customHeight="1">
      <c r="A34" s="803" t="s">
        <v>954</v>
      </c>
      <c r="B34" s="794" t="s">
        <v>1581</v>
      </c>
      <c r="C34" s="1223">
        <f t="shared" si="6"/>
        <v>1041</v>
      </c>
      <c r="D34" s="756"/>
      <c r="E34" s="1243">
        <v>0</v>
      </c>
      <c r="F34" s="1243">
        <v>0</v>
      </c>
      <c r="G34" s="1243">
        <v>0</v>
      </c>
      <c r="H34" s="1243">
        <v>0</v>
      </c>
      <c r="I34" s="1243">
        <v>356</v>
      </c>
      <c r="J34" s="1243">
        <v>685</v>
      </c>
      <c r="K34" s="1241">
        <f t="shared" si="11"/>
        <v>0</v>
      </c>
      <c r="L34" s="1243"/>
      <c r="M34" s="1243"/>
      <c r="N34" s="1243"/>
      <c r="O34" s="1243"/>
      <c r="P34" s="1243"/>
      <c r="Q34" s="1243"/>
      <c r="R34" s="1243"/>
    </row>
    <row r="35" spans="1:18" ht="23.25" customHeight="1">
      <c r="A35" s="795" t="s">
        <v>970</v>
      </c>
      <c r="B35" s="794" t="s">
        <v>1304</v>
      </c>
      <c r="C35" s="1223">
        <f t="shared" si="6"/>
        <v>0</v>
      </c>
      <c r="D35" s="756"/>
      <c r="E35" s="1244"/>
      <c r="F35" s="1244"/>
      <c r="G35" s="1244"/>
      <c r="H35" s="1244"/>
      <c r="I35" s="1243"/>
      <c r="J35" s="1243"/>
      <c r="K35" s="1241">
        <f t="shared" si="11"/>
        <v>0</v>
      </c>
      <c r="L35" s="1243"/>
      <c r="M35" s="1244"/>
      <c r="N35" s="1244"/>
      <c r="O35" s="1244"/>
      <c r="P35" s="1244"/>
      <c r="Q35" s="1243"/>
      <c r="R35" s="1243"/>
    </row>
    <row r="36" spans="1:18" ht="23.25" customHeight="1">
      <c r="A36" s="803" t="s">
        <v>954</v>
      </c>
      <c r="B36" s="794" t="s">
        <v>1517</v>
      </c>
      <c r="C36" s="1223">
        <f t="shared" si="6"/>
        <v>1690</v>
      </c>
      <c r="D36" s="756"/>
      <c r="E36" s="1244">
        <v>275</v>
      </c>
      <c r="F36" s="1244">
        <v>355</v>
      </c>
      <c r="G36" s="1244">
        <v>456</v>
      </c>
      <c r="H36" s="1244">
        <v>604</v>
      </c>
      <c r="I36" s="1243">
        <v>0</v>
      </c>
      <c r="J36" s="1243"/>
      <c r="K36" s="1241">
        <f t="shared" si="11"/>
        <v>1690</v>
      </c>
      <c r="L36" s="1243"/>
      <c r="M36" s="1244">
        <v>275</v>
      </c>
      <c r="N36" s="1244">
        <v>355</v>
      </c>
      <c r="O36" s="1244">
        <v>456</v>
      </c>
      <c r="P36" s="1244">
        <v>604</v>
      </c>
      <c r="Q36" s="1243"/>
      <c r="R36" s="1243"/>
    </row>
    <row r="37" spans="1:18" ht="23.25" customHeight="1">
      <c r="A37" s="803" t="s">
        <v>954</v>
      </c>
      <c r="B37" s="794" t="s">
        <v>1581</v>
      </c>
      <c r="C37" s="1223">
        <f t="shared" si="6"/>
        <v>581</v>
      </c>
      <c r="D37" s="756"/>
      <c r="E37" s="1243">
        <v>0</v>
      </c>
      <c r="F37" s="1243">
        <v>0</v>
      </c>
      <c r="G37" s="1243">
        <v>0</v>
      </c>
      <c r="H37" s="1243">
        <v>0</v>
      </c>
      <c r="I37" s="1243">
        <v>231</v>
      </c>
      <c r="J37" s="1243">
        <v>350</v>
      </c>
      <c r="K37" s="1241">
        <f t="shared" si="11"/>
        <v>0</v>
      </c>
      <c r="L37" s="1243"/>
      <c r="M37" s="1243"/>
      <c r="N37" s="1243"/>
      <c r="O37" s="1243"/>
      <c r="P37" s="1243"/>
      <c r="Q37" s="1243"/>
      <c r="R37" s="1243"/>
    </row>
    <row r="38" spans="1:18" ht="23.25" customHeight="1">
      <c r="A38" s="795"/>
      <c r="B38" s="794" t="s">
        <v>655</v>
      </c>
      <c r="C38" s="1223">
        <f t="shared" si="6"/>
        <v>118</v>
      </c>
      <c r="D38" s="756"/>
      <c r="E38" s="1243"/>
      <c r="F38" s="1243"/>
      <c r="G38" s="1243"/>
      <c r="H38" s="1243"/>
      <c r="I38" s="1243">
        <v>118</v>
      </c>
      <c r="J38" s="1243"/>
      <c r="K38" s="1241">
        <f t="shared" si="11"/>
        <v>0</v>
      </c>
      <c r="L38" s="1243"/>
      <c r="M38" s="1243"/>
      <c r="N38" s="1243"/>
      <c r="O38" s="1243"/>
      <c r="P38" s="1243"/>
      <c r="Q38" s="499"/>
      <c r="R38" s="1243"/>
    </row>
    <row r="39" spans="1:18" ht="21" customHeight="1">
      <c r="A39" s="795">
        <v>2</v>
      </c>
      <c r="B39" s="806" t="s">
        <v>1174</v>
      </c>
      <c r="C39" s="1223">
        <f t="shared" si="6"/>
        <v>1843.4550000000002</v>
      </c>
      <c r="D39" s="756"/>
      <c r="E39" s="1242">
        <f aca="true" t="shared" si="12" ref="E39:J39">SUM(E40:E48)</f>
        <v>96.405</v>
      </c>
      <c r="F39" s="1242">
        <f t="shared" si="12"/>
        <v>119.88000000000001</v>
      </c>
      <c r="G39" s="1242">
        <f t="shared" si="12"/>
        <v>252.67</v>
      </c>
      <c r="H39" s="1242">
        <f t="shared" si="12"/>
        <v>700.7</v>
      </c>
      <c r="I39" s="1242">
        <f t="shared" si="12"/>
        <v>323.8</v>
      </c>
      <c r="J39" s="1242">
        <f t="shared" si="12"/>
        <v>350</v>
      </c>
      <c r="K39" s="1241">
        <f t="shared" si="11"/>
        <v>1169.6550000000002</v>
      </c>
      <c r="L39" s="1242"/>
      <c r="M39" s="1242">
        <f>SUM(M40:M48)</f>
        <v>96.405</v>
      </c>
      <c r="N39" s="1242">
        <f>SUM(N40:N48)</f>
        <v>119.88000000000001</v>
      </c>
      <c r="O39" s="1242">
        <f>SUM(O40:O48)</f>
        <v>252.67</v>
      </c>
      <c r="P39" s="1242">
        <f>SUM(P40:P48)</f>
        <v>700.7</v>
      </c>
      <c r="Q39" s="1247"/>
      <c r="R39" s="1243"/>
    </row>
    <row r="40" spans="1:18" ht="21" customHeight="1">
      <c r="A40" s="795" t="s">
        <v>962</v>
      </c>
      <c r="B40" s="794" t="s">
        <v>1355</v>
      </c>
      <c r="C40" s="1223">
        <f t="shared" si="6"/>
        <v>0</v>
      </c>
      <c r="D40" s="756"/>
      <c r="E40" s="756"/>
      <c r="F40" s="756"/>
      <c r="G40" s="756"/>
      <c r="H40" s="756"/>
      <c r="I40" s="756"/>
      <c r="J40" s="756"/>
      <c r="K40" s="1241">
        <f t="shared" si="11"/>
        <v>0</v>
      </c>
      <c r="L40" s="756"/>
      <c r="M40" s="756"/>
      <c r="N40" s="756"/>
      <c r="O40" s="756"/>
      <c r="P40" s="756"/>
      <c r="Q40" s="756"/>
      <c r="R40" s="756"/>
    </row>
    <row r="41" spans="1:18" ht="21" customHeight="1">
      <c r="A41" s="803" t="s">
        <v>954</v>
      </c>
      <c r="B41" s="794" t="s">
        <v>1517</v>
      </c>
      <c r="C41" s="1223">
        <f t="shared" si="6"/>
        <v>556.605</v>
      </c>
      <c r="D41" s="756"/>
      <c r="E41" s="1228">
        <v>66.405</v>
      </c>
      <c r="F41" s="1228">
        <v>67.18</v>
      </c>
      <c r="G41" s="1228">
        <v>212.42</v>
      </c>
      <c r="H41" s="1248">
        <v>210.6</v>
      </c>
      <c r="I41" s="756">
        <v>0</v>
      </c>
      <c r="J41" s="1249">
        <v>0</v>
      </c>
      <c r="K41" s="1241">
        <f t="shared" si="11"/>
        <v>556.605</v>
      </c>
      <c r="L41" s="756"/>
      <c r="M41" s="1228">
        <v>66.405</v>
      </c>
      <c r="N41" s="1228">
        <v>67.18</v>
      </c>
      <c r="O41" s="1228">
        <v>212.42</v>
      </c>
      <c r="P41" s="1248">
        <v>210.6</v>
      </c>
      <c r="Q41" s="756"/>
      <c r="R41" s="756"/>
    </row>
    <row r="42" spans="1:18" ht="21" customHeight="1">
      <c r="A42" s="803" t="s">
        <v>954</v>
      </c>
      <c r="B42" s="794" t="s">
        <v>1581</v>
      </c>
      <c r="C42" s="1223">
        <f t="shared" si="6"/>
        <v>294.5</v>
      </c>
      <c r="D42" s="756"/>
      <c r="E42" s="756">
        <v>0</v>
      </c>
      <c r="F42" s="756">
        <v>0</v>
      </c>
      <c r="G42" s="756">
        <v>0</v>
      </c>
      <c r="H42" s="756">
        <v>0</v>
      </c>
      <c r="I42" s="756">
        <v>164.5</v>
      </c>
      <c r="J42" s="756">
        <v>130</v>
      </c>
      <c r="K42" s="1241">
        <f t="shared" si="11"/>
        <v>0</v>
      </c>
      <c r="L42" s="756"/>
      <c r="M42" s="756"/>
      <c r="N42" s="756"/>
      <c r="O42" s="756"/>
      <c r="P42" s="756"/>
      <c r="Q42" s="756"/>
      <c r="R42" s="756"/>
    </row>
    <row r="43" spans="1:18" ht="21" customHeight="1">
      <c r="A43" s="795" t="s">
        <v>963</v>
      </c>
      <c r="B43" s="794" t="s">
        <v>1173</v>
      </c>
      <c r="C43" s="1223">
        <f t="shared" si="6"/>
        <v>0</v>
      </c>
      <c r="D43" s="756"/>
      <c r="E43" s="756"/>
      <c r="F43" s="756"/>
      <c r="G43" s="756"/>
      <c r="H43" s="756"/>
      <c r="I43" s="756"/>
      <c r="J43" s="756"/>
      <c r="K43" s="1241">
        <f t="shared" si="11"/>
        <v>0</v>
      </c>
      <c r="L43" s="756"/>
      <c r="M43" s="756"/>
      <c r="N43" s="756"/>
      <c r="O43" s="756"/>
      <c r="P43" s="756"/>
      <c r="Q43" s="756"/>
      <c r="R43" s="756"/>
    </row>
    <row r="44" spans="1:18" ht="21" customHeight="1">
      <c r="A44" s="803" t="s">
        <v>954</v>
      </c>
      <c r="B44" s="794" t="s">
        <v>1517</v>
      </c>
      <c r="C44" s="1223">
        <f t="shared" si="6"/>
        <v>488.1</v>
      </c>
      <c r="D44" s="756"/>
      <c r="E44" s="1228">
        <v>30</v>
      </c>
      <c r="F44" s="1228">
        <v>43</v>
      </c>
      <c r="G44" s="1228">
        <v>25</v>
      </c>
      <c r="H44" s="1248">
        <v>390.1</v>
      </c>
      <c r="I44" s="756"/>
      <c r="J44" s="1249"/>
      <c r="K44" s="1241">
        <f t="shared" si="11"/>
        <v>488.1</v>
      </c>
      <c r="L44" s="756"/>
      <c r="M44" s="1228">
        <v>30</v>
      </c>
      <c r="N44" s="1228">
        <v>43</v>
      </c>
      <c r="O44" s="1228">
        <v>25</v>
      </c>
      <c r="P44" s="1248">
        <v>390.1</v>
      </c>
      <c r="Q44" s="756"/>
      <c r="R44" s="756"/>
    </row>
    <row r="45" spans="1:18" ht="21" customHeight="1">
      <c r="A45" s="803" t="s">
        <v>954</v>
      </c>
      <c r="B45" s="794" t="s">
        <v>1581</v>
      </c>
      <c r="C45" s="1223">
        <f t="shared" si="6"/>
        <v>284.7</v>
      </c>
      <c r="D45" s="756"/>
      <c r="E45" s="756">
        <v>0</v>
      </c>
      <c r="F45" s="756">
        <v>0</v>
      </c>
      <c r="G45" s="756">
        <v>0</v>
      </c>
      <c r="H45" s="756">
        <v>0</v>
      </c>
      <c r="I45" s="756">
        <v>134.7</v>
      </c>
      <c r="J45" s="756">
        <v>150</v>
      </c>
      <c r="K45" s="1241">
        <f t="shared" si="11"/>
        <v>0</v>
      </c>
      <c r="L45" s="756"/>
      <c r="M45" s="756"/>
      <c r="N45" s="756"/>
      <c r="O45" s="756"/>
      <c r="P45" s="756"/>
      <c r="Q45" s="756"/>
      <c r="R45" s="756"/>
    </row>
    <row r="46" spans="1:18" ht="21" customHeight="1">
      <c r="A46" s="795" t="s">
        <v>970</v>
      </c>
      <c r="B46" s="794" t="s">
        <v>1304</v>
      </c>
      <c r="C46" s="1223">
        <f t="shared" si="6"/>
        <v>0</v>
      </c>
      <c r="D46" s="756"/>
      <c r="E46" s="756"/>
      <c r="F46" s="756"/>
      <c r="G46" s="756"/>
      <c r="H46" s="756"/>
      <c r="I46" s="756"/>
      <c r="J46" s="756"/>
      <c r="K46" s="1241">
        <f t="shared" si="11"/>
        <v>0</v>
      </c>
      <c r="L46" s="756"/>
      <c r="M46" s="756"/>
      <c r="N46" s="756"/>
      <c r="O46" s="756"/>
      <c r="P46" s="756"/>
      <c r="Q46" s="756"/>
      <c r="R46" s="756"/>
    </row>
    <row r="47" spans="1:18" ht="21" customHeight="1">
      <c r="A47" s="803" t="s">
        <v>954</v>
      </c>
      <c r="B47" s="794" t="s">
        <v>1517</v>
      </c>
      <c r="C47" s="1223">
        <f t="shared" si="6"/>
        <v>124.95</v>
      </c>
      <c r="D47" s="756"/>
      <c r="E47" s="1228">
        <v>0</v>
      </c>
      <c r="F47" s="1228">
        <v>9.7</v>
      </c>
      <c r="G47" s="1228">
        <v>15.25</v>
      </c>
      <c r="H47" s="1248">
        <v>100</v>
      </c>
      <c r="I47" s="756">
        <v>0</v>
      </c>
      <c r="J47" s="1249">
        <v>0</v>
      </c>
      <c r="K47" s="1241">
        <f t="shared" si="11"/>
        <v>124.95</v>
      </c>
      <c r="L47" s="756"/>
      <c r="M47" s="1228">
        <v>0</v>
      </c>
      <c r="N47" s="1228">
        <v>9.7</v>
      </c>
      <c r="O47" s="1228">
        <v>15.25</v>
      </c>
      <c r="P47" s="1248">
        <v>100</v>
      </c>
      <c r="Q47" s="756"/>
      <c r="R47" s="756"/>
    </row>
    <row r="48" spans="1:18" ht="21" customHeight="1">
      <c r="A48" s="803" t="s">
        <v>954</v>
      </c>
      <c r="B48" s="794" t="s">
        <v>1581</v>
      </c>
      <c r="C48" s="1223">
        <f t="shared" si="6"/>
        <v>94.6</v>
      </c>
      <c r="D48" s="756"/>
      <c r="E48" s="756">
        <v>0</v>
      </c>
      <c r="F48" s="756">
        <v>0</v>
      </c>
      <c r="G48" s="756">
        <v>0</v>
      </c>
      <c r="H48" s="756">
        <v>0</v>
      </c>
      <c r="I48" s="756">
        <v>24.6</v>
      </c>
      <c r="J48" s="756">
        <v>70</v>
      </c>
      <c r="K48" s="1241">
        <f t="shared" si="11"/>
        <v>0</v>
      </c>
      <c r="L48" s="756"/>
      <c r="M48" s="756"/>
      <c r="N48" s="756"/>
      <c r="O48" s="756"/>
      <c r="P48" s="756"/>
      <c r="Q48" s="756"/>
      <c r="R48" s="756"/>
    </row>
    <row r="49" spans="1:18" ht="21" customHeight="1">
      <c r="A49" s="795">
        <v>3</v>
      </c>
      <c r="B49" s="806" t="s">
        <v>1175</v>
      </c>
      <c r="C49" s="1223">
        <f>SUM(D49:J49)</f>
        <v>1787.55584</v>
      </c>
      <c r="D49" s="756"/>
      <c r="E49" s="1250">
        <f aca="true" t="shared" si="13" ref="E49:J49">SUM(E50:E58)</f>
        <v>375.80400000000003</v>
      </c>
      <c r="F49" s="1250">
        <f t="shared" si="13"/>
        <v>253.80184</v>
      </c>
      <c r="G49" s="1250">
        <f t="shared" si="13"/>
        <v>259</v>
      </c>
      <c r="H49" s="1250">
        <f t="shared" si="13"/>
        <v>439.93999999999994</v>
      </c>
      <c r="I49" s="1250">
        <f t="shared" si="13"/>
        <v>224.01000000000002</v>
      </c>
      <c r="J49" s="1250">
        <f t="shared" si="13"/>
        <v>235</v>
      </c>
      <c r="K49" s="1241">
        <f t="shared" si="11"/>
        <v>1328.54584</v>
      </c>
      <c r="L49" s="1231"/>
      <c r="M49" s="1250">
        <f>SUM(M50:M58)</f>
        <v>375.80400000000003</v>
      </c>
      <c r="N49" s="1250">
        <f>SUM(N50:N58)</f>
        <v>253.80184</v>
      </c>
      <c r="O49" s="1250">
        <f>SUM(O50:O58)</f>
        <v>259</v>
      </c>
      <c r="P49" s="1250">
        <f>SUM(P50:P58)</f>
        <v>439.93999999999994</v>
      </c>
      <c r="Q49" s="756"/>
      <c r="R49" s="756"/>
    </row>
    <row r="50" spans="1:18" ht="21" customHeight="1">
      <c r="A50" s="795" t="s">
        <v>962</v>
      </c>
      <c r="B50" s="794" t="s">
        <v>1355</v>
      </c>
      <c r="C50" s="1223">
        <f t="shared" si="6"/>
        <v>0</v>
      </c>
      <c r="D50" s="756"/>
      <c r="E50" s="756"/>
      <c r="F50" s="756"/>
      <c r="G50" s="756"/>
      <c r="H50" s="756"/>
      <c r="I50" s="756"/>
      <c r="J50" s="756"/>
      <c r="K50" s="1241">
        <f t="shared" si="11"/>
        <v>0</v>
      </c>
      <c r="L50" s="756"/>
      <c r="M50" s="756"/>
      <c r="N50" s="756"/>
      <c r="O50" s="756"/>
      <c r="P50" s="756"/>
      <c r="Q50" s="756"/>
      <c r="R50" s="756"/>
    </row>
    <row r="51" spans="1:18" ht="21" customHeight="1">
      <c r="A51" s="803" t="s">
        <v>954</v>
      </c>
      <c r="B51" s="794" t="s">
        <v>1517</v>
      </c>
      <c r="C51" s="1223">
        <f t="shared" si="6"/>
        <v>417.725</v>
      </c>
      <c r="D51" s="756"/>
      <c r="E51" s="1251">
        <v>70.315</v>
      </c>
      <c r="F51" s="1251">
        <v>81.41</v>
      </c>
      <c r="G51" s="1225">
        <v>103</v>
      </c>
      <c r="H51" s="1225">
        <v>163</v>
      </c>
      <c r="I51" s="756">
        <v>0</v>
      </c>
      <c r="J51" s="1249">
        <v>0</v>
      </c>
      <c r="K51" s="1241">
        <f t="shared" si="11"/>
        <v>417.725</v>
      </c>
      <c r="L51" s="756"/>
      <c r="M51" s="1251">
        <v>70.315</v>
      </c>
      <c r="N51" s="1251">
        <v>81.41</v>
      </c>
      <c r="O51" s="1225">
        <v>103</v>
      </c>
      <c r="P51" s="1225">
        <v>163</v>
      </c>
      <c r="Q51" s="756"/>
      <c r="R51" s="756"/>
    </row>
    <row r="52" spans="1:18" ht="21" customHeight="1">
      <c r="A52" s="803" t="s">
        <v>954</v>
      </c>
      <c r="B52" s="794" t="s">
        <v>1581</v>
      </c>
      <c r="C52" s="1223">
        <f t="shared" si="6"/>
        <v>89.9</v>
      </c>
      <c r="D52" s="756"/>
      <c r="E52" s="756">
        <v>0</v>
      </c>
      <c r="F52" s="756">
        <v>0</v>
      </c>
      <c r="G52" s="756">
        <v>0</v>
      </c>
      <c r="H52" s="756">
        <v>0</v>
      </c>
      <c r="I52" s="1252">
        <v>39.9</v>
      </c>
      <c r="J52" s="1253">
        <v>50</v>
      </c>
      <c r="K52" s="1241">
        <f t="shared" si="11"/>
        <v>0</v>
      </c>
      <c r="L52" s="756"/>
      <c r="M52" s="756"/>
      <c r="N52" s="756"/>
      <c r="O52" s="756"/>
      <c r="P52" s="756"/>
      <c r="Q52" s="756"/>
      <c r="R52" s="756"/>
    </row>
    <row r="53" spans="1:18" ht="21" customHeight="1">
      <c r="A53" s="795" t="s">
        <v>963</v>
      </c>
      <c r="B53" s="794" t="s">
        <v>1354</v>
      </c>
      <c r="C53" s="1223">
        <f t="shared" si="6"/>
        <v>0</v>
      </c>
      <c r="D53" s="756"/>
      <c r="E53" s="756"/>
      <c r="F53" s="756"/>
      <c r="G53" s="756"/>
      <c r="H53" s="756"/>
      <c r="I53" s="756"/>
      <c r="J53" s="756"/>
      <c r="K53" s="1241">
        <f t="shared" si="11"/>
        <v>0</v>
      </c>
      <c r="L53" s="756"/>
      <c r="M53" s="756"/>
      <c r="N53" s="756"/>
      <c r="O53" s="756"/>
      <c r="P53" s="756"/>
      <c r="Q53" s="756"/>
      <c r="R53" s="756"/>
    </row>
    <row r="54" spans="1:18" ht="21" customHeight="1">
      <c r="A54" s="803" t="s">
        <v>954</v>
      </c>
      <c r="B54" s="794" t="s">
        <v>1517</v>
      </c>
      <c r="C54" s="1223">
        <f t="shared" si="6"/>
        <v>767.2239999999999</v>
      </c>
      <c r="D54" s="756"/>
      <c r="E54" s="1251">
        <v>298.704</v>
      </c>
      <c r="F54" s="1251">
        <v>159.1</v>
      </c>
      <c r="G54" s="1225">
        <v>116</v>
      </c>
      <c r="H54" s="1225">
        <v>193.42</v>
      </c>
      <c r="I54" s="756">
        <v>0</v>
      </c>
      <c r="J54" s="1249">
        <v>0</v>
      </c>
      <c r="K54" s="1241">
        <f t="shared" si="11"/>
        <v>767.2239999999999</v>
      </c>
      <c r="L54" s="756"/>
      <c r="M54" s="1251">
        <v>298.704</v>
      </c>
      <c r="N54" s="1251">
        <v>159.1</v>
      </c>
      <c r="O54" s="1225">
        <v>116</v>
      </c>
      <c r="P54" s="1225">
        <v>193.42</v>
      </c>
      <c r="Q54" s="756"/>
      <c r="R54" s="756"/>
    </row>
    <row r="55" spans="1:18" ht="21" customHeight="1">
      <c r="A55" s="803" t="s">
        <v>954</v>
      </c>
      <c r="B55" s="794" t="s">
        <v>1581</v>
      </c>
      <c r="C55" s="1223">
        <f t="shared" si="6"/>
        <v>264.61</v>
      </c>
      <c r="D55" s="756"/>
      <c r="E55" s="756">
        <v>0</v>
      </c>
      <c r="F55" s="756">
        <v>0</v>
      </c>
      <c r="G55" s="756">
        <v>0</v>
      </c>
      <c r="H55" s="756">
        <v>0</v>
      </c>
      <c r="I55" s="1252">
        <v>144.61</v>
      </c>
      <c r="J55" s="1253">
        <v>120</v>
      </c>
      <c r="K55" s="1241">
        <f t="shared" si="11"/>
        <v>0</v>
      </c>
      <c r="L55" s="756"/>
      <c r="M55" s="756"/>
      <c r="N55" s="756"/>
      <c r="O55" s="756"/>
      <c r="P55" s="756"/>
      <c r="Q55" s="756"/>
      <c r="R55" s="756"/>
    </row>
    <row r="56" spans="1:18" ht="21" customHeight="1">
      <c r="A56" s="795" t="s">
        <v>970</v>
      </c>
      <c r="B56" s="794" t="s">
        <v>1238</v>
      </c>
      <c r="C56" s="1223">
        <f t="shared" si="6"/>
        <v>0</v>
      </c>
      <c r="D56" s="756"/>
      <c r="E56" s="756"/>
      <c r="F56" s="756"/>
      <c r="G56" s="756"/>
      <c r="H56" s="756"/>
      <c r="I56" s="756"/>
      <c r="J56" s="756"/>
      <c r="K56" s="1241">
        <f t="shared" si="11"/>
        <v>0</v>
      </c>
      <c r="L56" s="756"/>
      <c r="M56" s="756"/>
      <c r="N56" s="756"/>
      <c r="O56" s="756"/>
      <c r="P56" s="756"/>
      <c r="Q56" s="756"/>
      <c r="R56" s="756"/>
    </row>
    <row r="57" spans="1:18" ht="21" customHeight="1">
      <c r="A57" s="803" t="s">
        <v>954</v>
      </c>
      <c r="B57" s="794" t="s">
        <v>1517</v>
      </c>
      <c r="C57" s="1223">
        <f t="shared" si="6"/>
        <v>143.59684</v>
      </c>
      <c r="D57" s="756"/>
      <c r="E57" s="1251">
        <v>6.785</v>
      </c>
      <c r="F57" s="1251">
        <v>13.29184</v>
      </c>
      <c r="G57" s="1225">
        <f>22+18</f>
        <v>40</v>
      </c>
      <c r="H57" s="1225">
        <v>83.52</v>
      </c>
      <c r="I57" s="756">
        <v>0</v>
      </c>
      <c r="J57" s="1249">
        <v>0</v>
      </c>
      <c r="K57" s="1241">
        <f t="shared" si="11"/>
        <v>143.59684</v>
      </c>
      <c r="L57" s="756"/>
      <c r="M57" s="1251">
        <v>6.785</v>
      </c>
      <c r="N57" s="1251">
        <v>13.29184</v>
      </c>
      <c r="O57" s="1225">
        <f>22+18</f>
        <v>40</v>
      </c>
      <c r="P57" s="1225">
        <v>83.52</v>
      </c>
      <c r="Q57" s="756"/>
      <c r="R57" s="756"/>
    </row>
    <row r="58" spans="1:18" ht="21" customHeight="1">
      <c r="A58" s="803" t="s">
        <v>954</v>
      </c>
      <c r="B58" s="794" t="s">
        <v>1581</v>
      </c>
      <c r="C58" s="1223">
        <f t="shared" si="6"/>
        <v>104.5</v>
      </c>
      <c r="D58" s="756"/>
      <c r="E58" s="756">
        <v>0</v>
      </c>
      <c r="F58" s="756">
        <v>0</v>
      </c>
      <c r="G58" s="756">
        <v>0</v>
      </c>
      <c r="H58" s="756">
        <v>0</v>
      </c>
      <c r="I58" s="1252">
        <v>39.5</v>
      </c>
      <c r="J58" s="1253">
        <v>65</v>
      </c>
      <c r="K58" s="1241">
        <f t="shared" si="11"/>
        <v>0</v>
      </c>
      <c r="L58" s="756"/>
      <c r="M58" s="756"/>
      <c r="N58" s="756"/>
      <c r="O58" s="756"/>
      <c r="P58" s="756"/>
      <c r="Q58" s="756"/>
      <c r="R58" s="756"/>
    </row>
    <row r="59" spans="1:18" s="1017" customFormat="1" ht="25.5" customHeight="1">
      <c r="A59" s="1016"/>
      <c r="B59" s="634" t="s">
        <v>1165</v>
      </c>
      <c r="C59" s="1254">
        <f>C27+C22+C16</f>
        <v>203897.93684</v>
      </c>
      <c r="D59" s="1254">
        <f aca="true" t="shared" si="14" ref="D59:R59">D27+D22+D16</f>
        <v>455</v>
      </c>
      <c r="E59" s="1254">
        <f t="shared" si="14"/>
        <v>7610.885</v>
      </c>
      <c r="F59" s="1254">
        <f t="shared" si="14"/>
        <v>32976.74284</v>
      </c>
      <c r="G59" s="1254">
        <f t="shared" si="14"/>
        <v>15218.927000000001</v>
      </c>
      <c r="H59" s="1254">
        <f t="shared" si="14"/>
        <v>80550.006</v>
      </c>
      <c r="I59" s="1254">
        <f>I27+I22+I16</f>
        <v>46430.676</v>
      </c>
      <c r="J59" s="1254">
        <f t="shared" si="14"/>
        <v>20655.7</v>
      </c>
      <c r="K59" s="1254">
        <f t="shared" si="14"/>
        <v>184244.55784</v>
      </c>
      <c r="L59" s="1254">
        <f t="shared" si="14"/>
        <v>0</v>
      </c>
      <c r="M59" s="1254">
        <f t="shared" si="14"/>
        <v>7110.885</v>
      </c>
      <c r="N59" s="1254">
        <f t="shared" si="14"/>
        <v>32476.742840000003</v>
      </c>
      <c r="O59" s="1254">
        <f t="shared" si="14"/>
        <v>13058.927</v>
      </c>
      <c r="P59" s="1254">
        <f t="shared" si="14"/>
        <v>73047.86200000001</v>
      </c>
      <c r="Q59" s="1254">
        <f t="shared" si="14"/>
        <v>41468.661</v>
      </c>
      <c r="R59" s="1254">
        <f t="shared" si="14"/>
        <v>17081.48</v>
      </c>
    </row>
    <row r="61" spans="3:10" ht="15.75">
      <c r="C61" s="1020"/>
      <c r="J61" s="1350"/>
    </row>
    <row r="62" spans="3:11" ht="15.75">
      <c r="C62" s="1020"/>
      <c r="J62" s="1351"/>
      <c r="K62" s="1177"/>
    </row>
    <row r="63" ht="15.75">
      <c r="J63" s="1350"/>
    </row>
  </sheetData>
  <sheetProtection/>
  <mergeCells count="5">
    <mergeCell ref="A1:P1"/>
    <mergeCell ref="A4:A5"/>
    <mergeCell ref="B4:B5"/>
    <mergeCell ref="C4:J4"/>
    <mergeCell ref="K4:R4"/>
  </mergeCells>
  <printOptions horizontalCentered="1"/>
  <pageMargins left="0" right="0" top="0.33" bottom="0" header="0.31496062992125984" footer="0.15748031496062992"/>
  <pageSetup horizontalDpi="600" verticalDpi="600" orientation="landscape" paperSize="9" scale="65" r:id="rId1"/>
</worksheet>
</file>

<file path=xl/worksheets/sheet28.xml><?xml version="1.0" encoding="utf-8"?>
<worksheet xmlns="http://schemas.openxmlformats.org/spreadsheetml/2006/main" xmlns:r="http://schemas.openxmlformats.org/officeDocument/2006/relationships">
  <dimension ref="A1:O45"/>
  <sheetViews>
    <sheetView zoomScalePageLayoutView="0" workbookViewId="0" topLeftCell="A1">
      <pane xSplit="2" ySplit="6" topLeftCell="C25" activePane="bottomRight" state="frozen"/>
      <selection pane="topLeft" activeCell="A1" sqref="A1"/>
      <selection pane="topRight" activeCell="C1" sqref="C1"/>
      <selection pane="bottomLeft" activeCell="A7" sqref="A7"/>
      <selection pane="bottomRight" activeCell="J23" sqref="J23"/>
    </sheetView>
  </sheetViews>
  <sheetFormatPr defaultColWidth="12.296875" defaultRowHeight="15"/>
  <cols>
    <col min="1" max="1" width="4.5" style="758" customWidth="1"/>
    <col min="2" max="2" width="28.59765625" style="758" customWidth="1"/>
    <col min="3" max="3" width="12.09765625" style="758" customWidth="1"/>
    <col min="4" max="4" width="12.19921875" style="758" customWidth="1"/>
    <col min="5" max="5" width="8.59765625" style="761" customWidth="1"/>
    <col min="6" max="6" width="11.19921875" style="761" customWidth="1"/>
    <col min="7" max="7" width="11.3984375" style="761" customWidth="1"/>
    <col min="8" max="8" width="10.8984375" style="762" customWidth="1"/>
    <col min="9" max="9" width="12" style="769" customWidth="1"/>
    <col min="10" max="10" width="11.09765625" style="769" customWidth="1"/>
    <col min="11" max="11" width="11.19921875" style="758" customWidth="1"/>
    <col min="12" max="12" width="7.3984375" style="759" customWidth="1"/>
    <col min="13" max="16384" width="12.19921875" style="759" customWidth="1"/>
  </cols>
  <sheetData>
    <row r="1" spans="1:11" ht="28.5" customHeight="1">
      <c r="A1" s="1591" t="s">
        <v>1585</v>
      </c>
      <c r="B1" s="1591"/>
      <c r="C1" s="1591"/>
      <c r="D1" s="1591"/>
      <c r="E1" s="1591"/>
      <c r="F1" s="1591"/>
      <c r="G1" s="1591"/>
      <c r="H1" s="1591"/>
      <c r="I1" s="1591"/>
      <c r="J1" s="1591"/>
      <c r="K1" s="1591"/>
    </row>
    <row r="2" spans="1:15" s="628" customFormat="1" ht="18.75" customHeight="1">
      <c r="A2" s="1599" t="s">
        <v>2315</v>
      </c>
      <c r="B2" s="1599"/>
      <c r="C2" s="1599"/>
      <c r="D2" s="1599"/>
      <c r="E2" s="1599"/>
      <c r="F2" s="1599"/>
      <c r="G2" s="1599"/>
      <c r="H2" s="1599"/>
      <c r="I2" s="1599"/>
      <c r="J2" s="1599"/>
      <c r="K2" s="1599"/>
      <c r="L2" s="1599"/>
      <c r="M2" s="648"/>
      <c r="N2" s="648"/>
      <c r="O2" s="648"/>
    </row>
    <row r="3" spans="1:12" ht="15.75">
      <c r="A3" s="1596"/>
      <c r="B3" s="1596"/>
      <c r="C3" s="760"/>
      <c r="D3" s="760"/>
      <c r="K3" s="1600" t="s">
        <v>935</v>
      </c>
      <c r="L3" s="1600"/>
    </row>
    <row r="4" spans="1:12" ht="33" customHeight="1">
      <c r="A4" s="1592" t="s">
        <v>488</v>
      </c>
      <c r="B4" s="1522" t="s">
        <v>1489</v>
      </c>
      <c r="C4" s="1522" t="s">
        <v>1520</v>
      </c>
      <c r="D4" s="1608" t="s">
        <v>1584</v>
      </c>
      <c r="E4" s="1609"/>
      <c r="F4" s="1609"/>
      <c r="G4" s="1609"/>
      <c r="H4" s="1609"/>
      <c r="I4" s="1609"/>
      <c r="J4" s="1610"/>
      <c r="K4" s="1522" t="s">
        <v>1586</v>
      </c>
      <c r="L4" s="1603" t="s">
        <v>636</v>
      </c>
    </row>
    <row r="5" spans="1:12" ht="28.5" customHeight="1">
      <c r="A5" s="1593"/>
      <c r="B5" s="1523"/>
      <c r="C5" s="1523"/>
      <c r="D5" s="1606" t="s">
        <v>947</v>
      </c>
      <c r="E5" s="1606">
        <v>2016</v>
      </c>
      <c r="F5" s="1597">
        <v>2017</v>
      </c>
      <c r="G5" s="1597">
        <v>2018</v>
      </c>
      <c r="H5" s="1597">
        <v>2019</v>
      </c>
      <c r="I5" s="1597">
        <v>2020</v>
      </c>
      <c r="J5" s="1597">
        <v>2021</v>
      </c>
      <c r="K5" s="1523"/>
      <c r="L5" s="1604"/>
    </row>
    <row r="6" spans="1:12" ht="29.25" customHeight="1">
      <c r="A6" s="1594"/>
      <c r="B6" s="1595"/>
      <c r="C6" s="1595"/>
      <c r="D6" s="1607"/>
      <c r="E6" s="1607"/>
      <c r="F6" s="1598"/>
      <c r="G6" s="1598"/>
      <c r="H6" s="1598"/>
      <c r="I6" s="1598"/>
      <c r="J6" s="1598"/>
      <c r="K6" s="1595"/>
      <c r="L6" s="1605"/>
    </row>
    <row r="7" spans="1:12" s="1197" customFormat="1" ht="33.75">
      <c r="A7" s="1195" t="s">
        <v>1490</v>
      </c>
      <c r="B7" s="1195" t="s">
        <v>1491</v>
      </c>
      <c r="C7" s="1195" t="s">
        <v>1506</v>
      </c>
      <c r="D7" s="1196" t="s">
        <v>1525</v>
      </c>
      <c r="E7" s="1195" t="s">
        <v>1492</v>
      </c>
      <c r="F7" s="1195" t="s">
        <v>1493</v>
      </c>
      <c r="G7" s="1195" t="s">
        <v>1494</v>
      </c>
      <c r="H7" s="1195" t="s">
        <v>1495</v>
      </c>
      <c r="I7" s="1195" t="s">
        <v>1521</v>
      </c>
      <c r="J7" s="1195" t="s">
        <v>1524</v>
      </c>
      <c r="K7" s="1196" t="s">
        <v>1522</v>
      </c>
      <c r="L7" s="1195" t="s">
        <v>1523</v>
      </c>
    </row>
    <row r="8" spans="1:13" ht="23.25" customHeight="1">
      <c r="A8" s="1178"/>
      <c r="B8" s="1179" t="s">
        <v>1526</v>
      </c>
      <c r="C8" s="1198">
        <f>C9+C16</f>
        <v>213647.8</v>
      </c>
      <c r="D8" s="1198">
        <f aca="true" t="shared" si="0" ref="D8:K8">D9+D16</f>
        <v>183482.0912</v>
      </c>
      <c r="E8" s="1198">
        <f t="shared" si="0"/>
        <v>500</v>
      </c>
      <c r="F8" s="1198">
        <f t="shared" si="0"/>
        <v>20865</v>
      </c>
      <c r="G8" s="1198">
        <f t="shared" si="0"/>
        <v>24113.926199999998</v>
      </c>
      <c r="H8" s="1198">
        <f t="shared" si="0"/>
        <v>12769.035</v>
      </c>
      <c r="I8" s="1198">
        <f t="shared" si="0"/>
        <v>79737.307</v>
      </c>
      <c r="J8" s="1198">
        <f t="shared" si="0"/>
        <v>46403.823000000004</v>
      </c>
      <c r="K8" s="1198">
        <f t="shared" si="0"/>
        <v>20420.7</v>
      </c>
      <c r="L8" s="1180"/>
      <c r="M8" s="1347"/>
    </row>
    <row r="9" spans="1:13" ht="24.75" customHeight="1">
      <c r="A9" s="1181" t="s">
        <v>486</v>
      </c>
      <c r="B9" s="1182" t="s">
        <v>1496</v>
      </c>
      <c r="C9" s="1199">
        <f>C10+C14+C15</f>
        <v>196228</v>
      </c>
      <c r="D9" s="1199">
        <f>D10+D14+D15</f>
        <v>168590.0602</v>
      </c>
      <c r="E9" s="1199">
        <f aca="true" t="shared" si="1" ref="E9:J9">E10+E14+E15</f>
        <v>500</v>
      </c>
      <c r="F9" s="1199">
        <f t="shared" si="1"/>
        <v>17375</v>
      </c>
      <c r="G9" s="1199">
        <f t="shared" si="1"/>
        <v>24113.926199999998</v>
      </c>
      <c r="H9" s="1199">
        <f t="shared" si="1"/>
        <v>9910</v>
      </c>
      <c r="I9" s="1199">
        <f t="shared" si="1"/>
        <v>73002.111</v>
      </c>
      <c r="J9" s="1199">
        <f t="shared" si="1"/>
        <v>43689.023</v>
      </c>
      <c r="K9" s="1200">
        <f>K10+K14+K15</f>
        <v>18510.7</v>
      </c>
      <c r="L9" s="1180"/>
      <c r="M9" s="1347"/>
    </row>
    <row r="10" spans="1:12" ht="30" customHeight="1">
      <c r="A10" s="1183">
        <v>1</v>
      </c>
      <c r="B10" s="1184" t="s">
        <v>1501</v>
      </c>
      <c r="C10" s="1201">
        <f>C11+C12+C13</f>
        <v>149666.7</v>
      </c>
      <c r="D10" s="1201">
        <f>D11+D12+D13</f>
        <v>143985.0602</v>
      </c>
      <c r="E10" s="1201">
        <f aca="true" t="shared" si="2" ref="E10:J10">E11+E12+E13</f>
        <v>455</v>
      </c>
      <c r="F10" s="1201">
        <f t="shared" si="2"/>
        <v>17375</v>
      </c>
      <c r="G10" s="1201">
        <f t="shared" si="2"/>
        <v>17113.926199999998</v>
      </c>
      <c r="H10" s="1201">
        <f>H11+H12+H13</f>
        <v>8910</v>
      </c>
      <c r="I10" s="1201">
        <f t="shared" si="2"/>
        <v>67899.111</v>
      </c>
      <c r="J10" s="1201">
        <f t="shared" si="2"/>
        <v>32232.023</v>
      </c>
      <c r="K10" s="1202">
        <f>K11+K12+K13</f>
        <v>3943.7</v>
      </c>
      <c r="L10" s="1180"/>
    </row>
    <row r="11" spans="1:12" ht="21.75" customHeight="1">
      <c r="A11" s="1185" t="s">
        <v>954</v>
      </c>
      <c r="B11" s="1186" t="s">
        <v>1497</v>
      </c>
      <c r="C11" s="1201">
        <v>119733.3</v>
      </c>
      <c r="D11" s="1201">
        <f>E11+F11+G11+H11+I11+J11</f>
        <v>116107.1452</v>
      </c>
      <c r="E11" s="1203"/>
      <c r="F11" s="1201">
        <v>15000</v>
      </c>
      <c r="G11" s="1201">
        <v>14767.9342</v>
      </c>
      <c r="H11" s="1201">
        <v>6000</v>
      </c>
      <c r="I11" s="1201">
        <v>53686</v>
      </c>
      <c r="J11" s="1201">
        <v>26653.211</v>
      </c>
      <c r="K11" s="1201">
        <f>2036-1080.5+1279.78</f>
        <v>2235.2799999999997</v>
      </c>
      <c r="L11" s="1180"/>
    </row>
    <row r="12" spans="1:12" ht="23.25" customHeight="1">
      <c r="A12" s="1185" t="s">
        <v>954</v>
      </c>
      <c r="B12" s="1186" t="s">
        <v>1498</v>
      </c>
      <c r="C12" s="1201">
        <v>14966.7</v>
      </c>
      <c r="D12" s="1201">
        <f>E12+F12+G12+H12+I12+J12</f>
        <v>14513.643</v>
      </c>
      <c r="E12" s="1203"/>
      <c r="F12" s="1201">
        <v>1875</v>
      </c>
      <c r="G12" s="1201">
        <v>1845.992</v>
      </c>
      <c r="H12" s="1201">
        <v>750</v>
      </c>
      <c r="I12" s="1201">
        <v>6711</v>
      </c>
      <c r="J12" s="1201">
        <v>3331.651</v>
      </c>
      <c r="K12" s="1201">
        <f>119.3+159.9</f>
        <v>279.2</v>
      </c>
      <c r="L12" s="1180"/>
    </row>
    <row r="13" spans="1:12" ht="33" customHeight="1">
      <c r="A13" s="1187" t="s">
        <v>954</v>
      </c>
      <c r="B13" s="1188" t="s">
        <v>1508</v>
      </c>
      <c r="C13" s="1201">
        <v>14966.7</v>
      </c>
      <c r="D13" s="1201">
        <f>E13+F13+G13+H13+I13+J13</f>
        <v>13364.272</v>
      </c>
      <c r="E13" s="1203">
        <v>455</v>
      </c>
      <c r="F13" s="1203">
        <v>500</v>
      </c>
      <c r="G13" s="1203">
        <v>500</v>
      </c>
      <c r="H13" s="1203">
        <f>2850-690</f>
        <v>2160</v>
      </c>
      <c r="I13" s="1203">
        <f>1432.411+6069.7</f>
        <v>7502.111</v>
      </c>
      <c r="J13" s="1203">
        <f>1835.2+411.961</f>
        <v>2247.161</v>
      </c>
      <c r="K13" s="1204">
        <f>3943.7-K12-K11</f>
        <v>1429.2200000000003</v>
      </c>
      <c r="L13" s="1180"/>
    </row>
    <row r="14" spans="1:12" ht="31.5" customHeight="1">
      <c r="A14" s="1183">
        <v>2</v>
      </c>
      <c r="B14" s="1184" t="s">
        <v>1502</v>
      </c>
      <c r="C14" s="1201">
        <v>35246.5</v>
      </c>
      <c r="D14" s="1201">
        <f>E14+F14+G14+H14+I14+J14</f>
        <v>20760</v>
      </c>
      <c r="E14" s="1203">
        <v>0</v>
      </c>
      <c r="F14" s="1203">
        <v>0</v>
      </c>
      <c r="G14" s="1203">
        <v>5000</v>
      </c>
      <c r="H14" s="1203">
        <v>500</v>
      </c>
      <c r="I14" s="1203">
        <v>3803</v>
      </c>
      <c r="J14" s="1203">
        <v>11457</v>
      </c>
      <c r="K14" s="1204">
        <v>14567</v>
      </c>
      <c r="L14" s="1189"/>
    </row>
    <row r="15" spans="1:12" ht="33" customHeight="1">
      <c r="A15" s="1183">
        <v>3</v>
      </c>
      <c r="B15" s="1184" t="s">
        <v>1505</v>
      </c>
      <c r="C15" s="1201">
        <v>11314.8</v>
      </c>
      <c r="D15" s="1201">
        <f>E15+F15+G15+H15+I15+J15</f>
        <v>3845</v>
      </c>
      <c r="E15" s="1203">
        <v>45</v>
      </c>
      <c r="F15" s="1203">
        <v>0</v>
      </c>
      <c r="G15" s="1203">
        <v>2000</v>
      </c>
      <c r="H15" s="1203">
        <v>500</v>
      </c>
      <c r="I15" s="1203">
        <v>1300</v>
      </c>
      <c r="J15" s="1203">
        <v>0</v>
      </c>
      <c r="K15" s="1205">
        <v>0</v>
      </c>
      <c r="L15" s="1180"/>
    </row>
    <row r="16" spans="1:12" ht="21.75" customHeight="1">
      <c r="A16" s="1181" t="s">
        <v>484</v>
      </c>
      <c r="B16" s="1182" t="s">
        <v>1499</v>
      </c>
      <c r="C16" s="1199">
        <f>C17+C20+C23</f>
        <v>17419.8</v>
      </c>
      <c r="D16" s="1199">
        <f>D17+D20+D23</f>
        <v>14892.031</v>
      </c>
      <c r="E16" s="1199">
        <f aca="true" t="shared" si="3" ref="E16:K16">E17+E20+E23</f>
        <v>0</v>
      </c>
      <c r="F16" s="1199">
        <f>F17+F20+F23</f>
        <v>3490</v>
      </c>
      <c r="G16" s="1199">
        <f t="shared" si="3"/>
        <v>0</v>
      </c>
      <c r="H16" s="1199">
        <f t="shared" si="3"/>
        <v>2859.035</v>
      </c>
      <c r="I16" s="1199">
        <f t="shared" si="3"/>
        <v>6735.196</v>
      </c>
      <c r="J16" s="1199">
        <f t="shared" si="3"/>
        <v>2714.8</v>
      </c>
      <c r="K16" s="1199">
        <f t="shared" si="3"/>
        <v>1910</v>
      </c>
      <c r="L16" s="1180"/>
    </row>
    <row r="17" spans="1:12" ht="21.75" customHeight="1">
      <c r="A17" s="1183">
        <v>1</v>
      </c>
      <c r="B17" s="1190" t="s">
        <v>1174</v>
      </c>
      <c r="C17" s="1201">
        <f>C18</f>
        <v>812.7</v>
      </c>
      <c r="D17" s="1201">
        <f>D18+D19</f>
        <v>1136.516</v>
      </c>
      <c r="E17" s="1201">
        <f aca="true" t="shared" si="4" ref="E17:K17">E18+E19</f>
        <v>0</v>
      </c>
      <c r="F17" s="1201">
        <f t="shared" si="4"/>
        <v>150</v>
      </c>
      <c r="G17" s="1201">
        <f t="shared" si="4"/>
        <v>0</v>
      </c>
      <c r="H17" s="1201">
        <f t="shared" si="4"/>
        <v>0</v>
      </c>
      <c r="I17" s="1201">
        <f t="shared" si="4"/>
        <v>662.716</v>
      </c>
      <c r="J17" s="1201">
        <f t="shared" si="4"/>
        <v>323.8</v>
      </c>
      <c r="K17" s="1201">
        <f t="shared" si="4"/>
        <v>350</v>
      </c>
      <c r="L17" s="1180"/>
    </row>
    <row r="18" spans="1:12" ht="21.75" customHeight="1">
      <c r="A18" s="1191" t="s">
        <v>954</v>
      </c>
      <c r="B18" s="1142" t="s">
        <v>1517</v>
      </c>
      <c r="C18" s="1201">
        <v>812.7</v>
      </c>
      <c r="D18" s="1201">
        <f>E18+F18+G18+H18+I18+J18</f>
        <v>812.716</v>
      </c>
      <c r="E18" s="1203"/>
      <c r="F18" s="1203">
        <v>150</v>
      </c>
      <c r="G18" s="1203"/>
      <c r="H18" s="1203">
        <v>0</v>
      </c>
      <c r="I18" s="1203">
        <v>662.716</v>
      </c>
      <c r="J18" s="1203"/>
      <c r="K18" s="1205"/>
      <c r="L18" s="1180"/>
    </row>
    <row r="19" spans="1:12" ht="21.75" customHeight="1">
      <c r="A19" s="1191" t="s">
        <v>954</v>
      </c>
      <c r="B19" s="1142" t="s">
        <v>1518</v>
      </c>
      <c r="C19" s="1201">
        <v>0</v>
      </c>
      <c r="D19" s="1201">
        <f>E19+F19+G19+H19+I19+J19</f>
        <v>323.8</v>
      </c>
      <c r="E19" s="1203"/>
      <c r="F19" s="1203"/>
      <c r="G19" s="1203"/>
      <c r="H19" s="1203"/>
      <c r="I19" s="1203"/>
      <c r="J19" s="1203">
        <v>323.8</v>
      </c>
      <c r="K19" s="1205">
        <v>350</v>
      </c>
      <c r="L19" s="1180"/>
    </row>
    <row r="20" spans="1:12" ht="21.75" customHeight="1">
      <c r="A20" s="1183">
        <v>2</v>
      </c>
      <c r="B20" s="1190" t="s">
        <v>1500</v>
      </c>
      <c r="C20" s="1201">
        <f>C21</f>
        <v>1143.8</v>
      </c>
      <c r="D20" s="1201">
        <f>D21+D22</f>
        <v>1367.762</v>
      </c>
      <c r="E20" s="1201">
        <f aca="true" t="shared" si="5" ref="E20:J20">E21+E22</f>
        <v>0</v>
      </c>
      <c r="F20" s="1201">
        <f t="shared" si="5"/>
        <v>450</v>
      </c>
      <c r="G20" s="1201"/>
      <c r="H20" s="1201">
        <f t="shared" si="5"/>
        <v>253.772</v>
      </c>
      <c r="I20" s="1201">
        <f t="shared" si="5"/>
        <v>439.99</v>
      </c>
      <c r="J20" s="1201">
        <f t="shared" si="5"/>
        <v>224</v>
      </c>
      <c r="K20" s="1205"/>
      <c r="L20" s="1180"/>
    </row>
    <row r="21" spans="1:12" ht="21.75" customHeight="1">
      <c r="A21" s="1191" t="s">
        <v>954</v>
      </c>
      <c r="B21" s="1142" t="s">
        <v>1517</v>
      </c>
      <c r="C21" s="1201">
        <v>1143.8</v>
      </c>
      <c r="D21" s="1201">
        <f>E21+F21+G21+H21+I21+J21</f>
        <v>1143.762</v>
      </c>
      <c r="E21" s="1203"/>
      <c r="F21" s="1203">
        <v>450</v>
      </c>
      <c r="G21" s="1203"/>
      <c r="H21" s="1203">
        <v>253.772</v>
      </c>
      <c r="I21" s="1203">
        <v>439.99</v>
      </c>
      <c r="J21" s="1203"/>
      <c r="K21" s="1205"/>
      <c r="L21" s="1180"/>
    </row>
    <row r="22" spans="1:12" ht="21.75" customHeight="1">
      <c r="A22" s="1191" t="s">
        <v>954</v>
      </c>
      <c r="B22" s="1142" t="s">
        <v>1518</v>
      </c>
      <c r="C22" s="1201">
        <v>0</v>
      </c>
      <c r="D22" s="1201">
        <f>E22+F22+G22+H22+I22+J22</f>
        <v>224</v>
      </c>
      <c r="E22" s="1203"/>
      <c r="F22" s="1203"/>
      <c r="G22" s="1203"/>
      <c r="H22" s="1203"/>
      <c r="I22" s="1203"/>
      <c r="J22" s="1203">
        <v>224</v>
      </c>
      <c r="K22" s="1205">
        <v>235</v>
      </c>
      <c r="L22" s="1180"/>
    </row>
    <row r="23" spans="1:12" ht="21.75" customHeight="1">
      <c r="A23" s="1183">
        <v>3</v>
      </c>
      <c r="B23" s="1190" t="s">
        <v>1172</v>
      </c>
      <c r="C23" s="1201">
        <f>C24+C27</f>
        <v>15463.3</v>
      </c>
      <c r="D23" s="1201">
        <f>D24+D28</f>
        <v>12387.753</v>
      </c>
      <c r="E23" s="1201">
        <f>E24+E28</f>
        <v>0</v>
      </c>
      <c r="F23" s="1201">
        <f>F24+F28</f>
        <v>2890</v>
      </c>
      <c r="G23" s="1201"/>
      <c r="H23" s="1201">
        <f>H24+H28</f>
        <v>2605.263</v>
      </c>
      <c r="I23" s="1201">
        <f>I24+I28</f>
        <v>5632.49</v>
      </c>
      <c r="J23" s="1201">
        <f>J24+J27</f>
        <v>2167</v>
      </c>
      <c r="K23" s="1205">
        <f>K24+K27</f>
        <v>1560</v>
      </c>
      <c r="L23" s="1180"/>
    </row>
    <row r="24" spans="1:12" ht="21.75" customHeight="1">
      <c r="A24" s="1183" t="s">
        <v>962</v>
      </c>
      <c r="B24" s="1142" t="s">
        <v>1517</v>
      </c>
      <c r="C24" s="1201">
        <f>C25+C26</f>
        <v>11127.8</v>
      </c>
      <c r="D24" s="1201">
        <f>D25+D26</f>
        <v>11127.753</v>
      </c>
      <c r="E24" s="1201">
        <f aca="true" t="shared" si="6" ref="E24:J24">E25+E26</f>
        <v>0</v>
      </c>
      <c r="F24" s="1201">
        <f t="shared" si="6"/>
        <v>2890</v>
      </c>
      <c r="G24" s="1201"/>
      <c r="H24" s="1201">
        <f t="shared" si="6"/>
        <v>2605.263</v>
      </c>
      <c r="I24" s="1201">
        <f t="shared" si="6"/>
        <v>5632.49</v>
      </c>
      <c r="J24" s="1201">
        <f t="shared" si="6"/>
        <v>0</v>
      </c>
      <c r="K24" s="1205">
        <v>0</v>
      </c>
      <c r="L24" s="1180"/>
    </row>
    <row r="25" spans="1:12" ht="24.75" customHeight="1">
      <c r="A25" s="1192" t="s">
        <v>954</v>
      </c>
      <c r="B25" s="1186" t="s">
        <v>1507</v>
      </c>
      <c r="C25" s="1201">
        <v>4501.7</v>
      </c>
      <c r="D25" s="1201">
        <f>E25+F25+G25+H25+I25+J25</f>
        <v>4501.648</v>
      </c>
      <c r="E25" s="1203"/>
      <c r="F25" s="1203">
        <v>528.148</v>
      </c>
      <c r="G25" s="1206"/>
      <c r="H25" s="1206">
        <v>1478.25</v>
      </c>
      <c r="I25" s="1206">
        <v>2495.25</v>
      </c>
      <c r="J25" s="1206">
        <v>0</v>
      </c>
      <c r="K25" s="1205">
        <v>0</v>
      </c>
      <c r="L25" s="1180"/>
    </row>
    <row r="26" spans="1:12" ht="34.5" customHeight="1">
      <c r="A26" s="1192" t="s">
        <v>954</v>
      </c>
      <c r="B26" s="1193" t="s">
        <v>1503</v>
      </c>
      <c r="C26" s="1201">
        <v>6626.1</v>
      </c>
      <c r="D26" s="1201">
        <f>E26+F26+G26+H26+I26+J26</f>
        <v>6626.105</v>
      </c>
      <c r="E26" s="1203"/>
      <c r="F26" s="1203">
        <v>2361.852</v>
      </c>
      <c r="G26" s="1206"/>
      <c r="H26" s="1206">
        <v>1127.013</v>
      </c>
      <c r="I26" s="1206">
        <v>3137.24</v>
      </c>
      <c r="J26" s="1206">
        <v>0</v>
      </c>
      <c r="K26" s="1205">
        <v>0</v>
      </c>
      <c r="L26" s="1180"/>
    </row>
    <row r="27" spans="1:12" ht="25.5" customHeight="1">
      <c r="A27" s="1194" t="s">
        <v>963</v>
      </c>
      <c r="B27" s="1190" t="s">
        <v>1504</v>
      </c>
      <c r="C27" s="1201">
        <f>C28+C29</f>
        <v>4335.5</v>
      </c>
      <c r="D27" s="1207">
        <f>D28+D29</f>
        <v>2167</v>
      </c>
      <c r="E27" s="1208"/>
      <c r="F27" s="1208"/>
      <c r="G27" s="1208"/>
      <c r="H27" s="1203"/>
      <c r="I27" s="1207"/>
      <c r="J27" s="1207">
        <f>J28+J29</f>
        <v>2167</v>
      </c>
      <c r="K27" s="1207">
        <f>K28+K29</f>
        <v>1560</v>
      </c>
      <c r="L27" s="1180"/>
    </row>
    <row r="28" spans="1:12" ht="24" customHeight="1">
      <c r="A28" s="1192" t="s">
        <v>954</v>
      </c>
      <c r="B28" s="1186" t="s">
        <v>1507</v>
      </c>
      <c r="C28" s="1201">
        <v>437.3</v>
      </c>
      <c r="D28" s="1201">
        <f>J28</f>
        <v>1260</v>
      </c>
      <c r="E28" s="1203"/>
      <c r="F28" s="1203"/>
      <c r="G28" s="1206"/>
      <c r="H28" s="1206"/>
      <c r="I28" s="1206"/>
      <c r="J28" s="1206">
        <v>1260</v>
      </c>
      <c r="K28" s="1205">
        <v>225</v>
      </c>
      <c r="L28" s="1180"/>
    </row>
    <row r="29" spans="1:12" ht="35.25" customHeight="1">
      <c r="A29" s="1192" t="s">
        <v>954</v>
      </c>
      <c r="B29" s="1193" t="s">
        <v>1503</v>
      </c>
      <c r="C29" s="1201">
        <v>3898.2</v>
      </c>
      <c r="D29" s="1201">
        <f>J29</f>
        <v>907</v>
      </c>
      <c r="E29" s="1203"/>
      <c r="F29" s="1203"/>
      <c r="G29" s="1206"/>
      <c r="H29" s="1206"/>
      <c r="I29" s="1206"/>
      <c r="J29" s="1206">
        <v>907</v>
      </c>
      <c r="K29" s="1205">
        <v>1335</v>
      </c>
      <c r="L29" s="1180"/>
    </row>
    <row r="30" spans="1:11" ht="27.75" customHeight="1">
      <c r="A30" s="774"/>
      <c r="H30" s="763"/>
      <c r="I30" s="764"/>
      <c r="J30" s="764"/>
      <c r="K30" s="765"/>
    </row>
    <row r="31" spans="1:10" ht="18" customHeight="1">
      <c r="A31" s="775"/>
      <c r="C31" s="785"/>
      <c r="D31" s="785"/>
      <c r="E31" s="767"/>
      <c r="F31" s="767"/>
      <c r="H31" s="767"/>
      <c r="I31" s="767"/>
      <c r="J31" s="784"/>
    </row>
    <row r="32" spans="1:12" ht="31.5" customHeight="1">
      <c r="A32" s="808"/>
      <c r="B32" s="1611"/>
      <c r="C32" s="1612"/>
      <c r="D32" s="1612"/>
      <c r="E32" s="1612"/>
      <c r="F32" s="1612"/>
      <c r="G32" s="1612"/>
      <c r="H32" s="1612"/>
      <c r="I32" s="1612"/>
      <c r="J32" s="1612"/>
      <c r="K32" s="1612"/>
      <c r="L32" s="1612"/>
    </row>
    <row r="33" spans="1:10" ht="20.25" customHeight="1">
      <c r="A33" s="775"/>
      <c r="C33" s="766"/>
      <c r="D33" s="779"/>
      <c r="E33" s="767"/>
      <c r="F33" s="767"/>
      <c r="H33" s="777"/>
      <c r="I33" s="777"/>
      <c r="J33" s="778"/>
    </row>
    <row r="34" spans="1:11" ht="36.75" customHeight="1">
      <c r="A34" s="776"/>
      <c r="B34" s="782"/>
      <c r="C34" s="782"/>
      <c r="D34" s="782"/>
      <c r="E34" s="782"/>
      <c r="F34" s="782"/>
      <c r="G34" s="782"/>
      <c r="H34" s="782"/>
      <c r="I34" s="782"/>
      <c r="J34" s="782"/>
      <c r="K34" s="782"/>
    </row>
    <row r="35" ht="15.75">
      <c r="B35" s="807"/>
    </row>
    <row r="36" ht="15.75">
      <c r="G36" s="770"/>
    </row>
    <row r="37" spans="7:8" ht="15.75">
      <c r="G37" s="768"/>
      <c r="H37" s="771"/>
    </row>
    <row r="39" spans="1:10" ht="15.75">
      <c r="A39" s="1601"/>
      <c r="B39" s="1601"/>
      <c r="C39" s="766"/>
      <c r="D39" s="779"/>
      <c r="H39" s="1602"/>
      <c r="I39" s="1602"/>
      <c r="J39" s="780"/>
    </row>
    <row r="40" ht="15.75">
      <c r="F40" s="772"/>
    </row>
    <row r="43" spans="9:10" ht="15.75">
      <c r="I43" s="773"/>
      <c r="J43" s="773"/>
    </row>
    <row r="45" spans="9:10" ht="15.75">
      <c r="I45" s="773"/>
      <c r="J45" s="773"/>
    </row>
  </sheetData>
  <sheetProtection/>
  <mergeCells count="20">
    <mergeCell ref="A39:B39"/>
    <mergeCell ref="H39:I39"/>
    <mergeCell ref="G5:G6"/>
    <mergeCell ref="H5:H6"/>
    <mergeCell ref="L4:L6"/>
    <mergeCell ref="I5:I6"/>
    <mergeCell ref="E5:E6"/>
    <mergeCell ref="D5:D6"/>
    <mergeCell ref="D4:J4"/>
    <mergeCell ref="B32:L32"/>
    <mergeCell ref="A1:K1"/>
    <mergeCell ref="A4:A6"/>
    <mergeCell ref="B4:B6"/>
    <mergeCell ref="C4:C6"/>
    <mergeCell ref="A3:B3"/>
    <mergeCell ref="F5:F6"/>
    <mergeCell ref="K4:K6"/>
    <mergeCell ref="A2:L2"/>
    <mergeCell ref="J5:J6"/>
    <mergeCell ref="K3:L3"/>
  </mergeCells>
  <printOptions horizontalCentered="1"/>
  <pageMargins left="0" right="0" top="0.31496062992125984" bottom="0"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W35"/>
  <sheetViews>
    <sheetView zoomScale="120" zoomScaleNormal="120" zoomScalePageLayoutView="0" workbookViewId="0" topLeftCell="A1">
      <selection activeCell="F17" sqref="F17"/>
    </sheetView>
  </sheetViews>
  <sheetFormatPr defaultColWidth="8.796875" defaultRowHeight="18" customHeight="1"/>
  <cols>
    <col min="1" max="1" width="2.8984375" style="67" bestFit="1" customWidth="1"/>
    <col min="2" max="2" width="16.19921875" style="69" customWidth="1"/>
    <col min="3" max="3" width="6.5" style="68" bestFit="1" customWidth="1"/>
    <col min="4" max="7" width="4.8984375" style="68" customWidth="1"/>
    <col min="8" max="8" width="6.5" style="68" bestFit="1" customWidth="1"/>
    <col min="9" max="12" width="4.8984375" style="68" customWidth="1"/>
    <col min="13" max="13" width="6.5" style="68" bestFit="1" customWidth="1"/>
    <col min="14" max="17" width="4.8984375" style="68" customWidth="1"/>
    <col min="18" max="18" width="6.5" style="68" bestFit="1" customWidth="1"/>
    <col min="19" max="22" width="4.8984375" style="68" customWidth="1"/>
    <col min="23" max="23" width="6.5" style="68" bestFit="1" customWidth="1"/>
    <col min="24" max="16384" width="9" style="65" customWidth="1"/>
  </cols>
  <sheetData>
    <row r="1" spans="1:23" ht="18" customHeight="1">
      <c r="A1" s="1366" t="s">
        <v>721</v>
      </c>
      <c r="B1" s="1366"/>
      <c r="C1" s="1366"/>
      <c r="D1" s="1366"/>
      <c r="E1" s="1366"/>
      <c r="F1" s="1366"/>
      <c r="G1" s="1366"/>
      <c r="H1" s="1366"/>
      <c r="I1" s="1366"/>
      <c r="J1" s="1366"/>
      <c r="K1" s="1366"/>
      <c r="L1" s="1366"/>
      <c r="M1" s="1366"/>
      <c r="N1" s="1366"/>
      <c r="O1" s="1366"/>
      <c r="P1" s="1366"/>
      <c r="Q1" s="1366"/>
      <c r="R1" s="1366"/>
      <c r="S1" s="1366"/>
      <c r="T1" s="1366"/>
      <c r="U1" s="1366"/>
      <c r="V1" s="1366"/>
      <c r="W1" s="1366"/>
    </row>
    <row r="2" spans="1:23" ht="18" customHeight="1">
      <c r="A2" s="125" t="s">
        <v>761</v>
      </c>
      <c r="B2" s="70"/>
      <c r="C2" s="70"/>
      <c r="D2" s="70"/>
      <c r="E2" s="70"/>
      <c r="F2" s="70"/>
      <c r="G2" s="70"/>
      <c r="H2" s="70"/>
      <c r="I2" s="70"/>
      <c r="J2" s="70"/>
      <c r="K2" s="70"/>
      <c r="L2" s="70"/>
      <c r="M2" s="70"/>
      <c r="N2" s="70"/>
      <c r="O2" s="70"/>
      <c r="P2" s="70"/>
      <c r="Q2" s="70"/>
      <c r="R2" s="70"/>
      <c r="S2" s="70"/>
      <c r="T2" s="70"/>
      <c r="U2" s="70"/>
      <c r="V2" s="70"/>
      <c r="W2" s="70"/>
    </row>
    <row r="3" spans="1:23" s="66" customFormat="1" ht="18" customHeight="1">
      <c r="A3" s="1367" t="s">
        <v>650</v>
      </c>
      <c r="B3" s="1367"/>
      <c r="C3" s="1367"/>
      <c r="D3" s="1367"/>
      <c r="E3" s="1367"/>
      <c r="F3" s="1367"/>
      <c r="G3" s="1367"/>
      <c r="H3" s="1367"/>
      <c r="I3" s="1367"/>
      <c r="J3" s="1367"/>
      <c r="K3" s="1367"/>
      <c r="L3" s="1367"/>
      <c r="M3" s="1367"/>
      <c r="N3" s="1367"/>
      <c r="O3" s="1367"/>
      <c r="P3" s="1367"/>
      <c r="Q3" s="1367"/>
      <c r="R3" s="1367"/>
      <c r="S3" s="1367"/>
      <c r="T3" s="1367"/>
      <c r="U3" s="1367"/>
      <c r="V3" s="1367"/>
      <c r="W3" s="1367"/>
    </row>
    <row r="4" spans="1:23" s="77" customFormat="1" ht="24.75" customHeight="1">
      <c r="A4" s="1368" t="s">
        <v>488</v>
      </c>
      <c r="B4" s="1368" t="s">
        <v>649</v>
      </c>
      <c r="C4" s="1362" t="s">
        <v>718</v>
      </c>
      <c r="D4" s="1363"/>
      <c r="E4" s="1363"/>
      <c r="F4" s="1363"/>
      <c r="G4" s="1364"/>
      <c r="H4" s="1362" t="s">
        <v>719</v>
      </c>
      <c r="I4" s="1363"/>
      <c r="J4" s="1363"/>
      <c r="K4" s="1363"/>
      <c r="L4" s="1364"/>
      <c r="M4" s="1362" t="s">
        <v>720</v>
      </c>
      <c r="N4" s="1363"/>
      <c r="O4" s="1363"/>
      <c r="P4" s="1363"/>
      <c r="Q4" s="1364"/>
      <c r="R4" s="1362" t="s">
        <v>711</v>
      </c>
      <c r="S4" s="1363"/>
      <c r="T4" s="1363"/>
      <c r="U4" s="1363"/>
      <c r="V4" s="1364"/>
      <c r="W4" s="1368" t="s">
        <v>715</v>
      </c>
    </row>
    <row r="5" spans="1:23" s="77" customFormat="1" ht="15" customHeight="1">
      <c r="A5" s="1369"/>
      <c r="B5" s="1369"/>
      <c r="C5" s="1365" t="s">
        <v>639</v>
      </c>
      <c r="D5" s="1365" t="s">
        <v>640</v>
      </c>
      <c r="E5" s="1365"/>
      <c r="F5" s="1365"/>
      <c r="G5" s="1365"/>
      <c r="H5" s="1365" t="s">
        <v>639</v>
      </c>
      <c r="I5" s="1365" t="s">
        <v>640</v>
      </c>
      <c r="J5" s="1365"/>
      <c r="K5" s="1365"/>
      <c r="L5" s="1365"/>
      <c r="M5" s="1365" t="s">
        <v>639</v>
      </c>
      <c r="N5" s="1365" t="s">
        <v>640</v>
      </c>
      <c r="O5" s="1365"/>
      <c r="P5" s="1365"/>
      <c r="Q5" s="1365"/>
      <c r="R5" s="1365" t="s">
        <v>639</v>
      </c>
      <c r="S5" s="1365" t="s">
        <v>640</v>
      </c>
      <c r="T5" s="1365"/>
      <c r="U5" s="1365"/>
      <c r="V5" s="1365"/>
      <c r="W5" s="1369"/>
    </row>
    <row r="6" spans="1:23" s="77" customFormat="1" ht="15" customHeight="1">
      <c r="A6" s="1369"/>
      <c r="B6" s="1369"/>
      <c r="C6" s="1365"/>
      <c r="D6" s="1365" t="s">
        <v>643</v>
      </c>
      <c r="E6" s="1365"/>
      <c r="F6" s="1365" t="s">
        <v>644</v>
      </c>
      <c r="G6" s="1365"/>
      <c r="H6" s="1365"/>
      <c r="I6" s="1365" t="s">
        <v>643</v>
      </c>
      <c r="J6" s="1365"/>
      <c r="K6" s="1365" t="s">
        <v>644</v>
      </c>
      <c r="L6" s="1365"/>
      <c r="M6" s="1365"/>
      <c r="N6" s="1365" t="s">
        <v>643</v>
      </c>
      <c r="O6" s="1365"/>
      <c r="P6" s="1365" t="s">
        <v>644</v>
      </c>
      <c r="Q6" s="1365"/>
      <c r="R6" s="1365"/>
      <c r="S6" s="1365" t="s">
        <v>643</v>
      </c>
      <c r="T6" s="1365"/>
      <c r="U6" s="1365" t="s">
        <v>644</v>
      </c>
      <c r="V6" s="1365"/>
      <c r="W6" s="1369"/>
    </row>
    <row r="7" spans="1:23" s="77" customFormat="1" ht="24.75" customHeight="1">
      <c r="A7" s="1370"/>
      <c r="B7" s="1370"/>
      <c r="C7" s="1365"/>
      <c r="D7" s="78" t="s">
        <v>641</v>
      </c>
      <c r="E7" s="78" t="s">
        <v>642</v>
      </c>
      <c r="F7" s="78" t="s">
        <v>641</v>
      </c>
      <c r="G7" s="78" t="s">
        <v>642</v>
      </c>
      <c r="H7" s="1365"/>
      <c r="I7" s="78" t="s">
        <v>641</v>
      </c>
      <c r="J7" s="78" t="s">
        <v>642</v>
      </c>
      <c r="K7" s="78" t="s">
        <v>641</v>
      </c>
      <c r="L7" s="78" t="s">
        <v>642</v>
      </c>
      <c r="M7" s="1365"/>
      <c r="N7" s="78" t="s">
        <v>641</v>
      </c>
      <c r="O7" s="78" t="s">
        <v>642</v>
      </c>
      <c r="P7" s="78" t="s">
        <v>641</v>
      </c>
      <c r="Q7" s="78" t="s">
        <v>642</v>
      </c>
      <c r="R7" s="1365"/>
      <c r="S7" s="78" t="s">
        <v>641</v>
      </c>
      <c r="T7" s="78" t="s">
        <v>642</v>
      </c>
      <c r="U7" s="78" t="s">
        <v>641</v>
      </c>
      <c r="V7" s="78" t="s">
        <v>642</v>
      </c>
      <c r="W7" s="1370"/>
    </row>
    <row r="8" spans="1:23" s="80" customFormat="1" ht="15" customHeight="1">
      <c r="A8" s="79">
        <v>1</v>
      </c>
      <c r="B8" s="79">
        <v>2</v>
      </c>
      <c r="C8" s="79">
        <v>3</v>
      </c>
      <c r="D8" s="78">
        <v>4</v>
      </c>
      <c r="E8" s="79">
        <v>5</v>
      </c>
      <c r="F8" s="78">
        <v>6</v>
      </c>
      <c r="G8" s="79">
        <v>7</v>
      </c>
      <c r="H8" s="78">
        <v>8</v>
      </c>
      <c r="I8" s="79">
        <v>9</v>
      </c>
      <c r="J8" s="78">
        <v>10</v>
      </c>
      <c r="K8" s="79">
        <v>11</v>
      </c>
      <c r="L8" s="78">
        <v>12</v>
      </c>
      <c r="M8" s="79">
        <v>13</v>
      </c>
      <c r="N8" s="78">
        <v>14</v>
      </c>
      <c r="O8" s="79">
        <v>15</v>
      </c>
      <c r="P8" s="78">
        <v>16</v>
      </c>
      <c r="Q8" s="79">
        <v>17</v>
      </c>
      <c r="R8" s="79">
        <v>18</v>
      </c>
      <c r="S8" s="78">
        <v>19</v>
      </c>
      <c r="T8" s="79">
        <v>20</v>
      </c>
      <c r="U8" s="78">
        <v>21</v>
      </c>
      <c r="V8" s="79">
        <v>22</v>
      </c>
      <c r="W8" s="79">
        <v>28</v>
      </c>
    </row>
    <row r="9" spans="1:23" s="84" customFormat="1" ht="15" customHeight="1">
      <c r="A9" s="81"/>
      <c r="B9" s="82" t="s">
        <v>645</v>
      </c>
      <c r="C9" s="83"/>
      <c r="D9" s="83"/>
      <c r="E9" s="83"/>
      <c r="F9" s="83"/>
      <c r="G9" s="83"/>
      <c r="H9" s="83"/>
      <c r="I9" s="83"/>
      <c r="J9" s="83"/>
      <c r="K9" s="83"/>
      <c r="L9" s="83"/>
      <c r="M9" s="83"/>
      <c r="N9" s="83"/>
      <c r="O9" s="83"/>
      <c r="P9" s="83"/>
      <c r="Q9" s="83"/>
      <c r="R9" s="83"/>
      <c r="S9" s="83"/>
      <c r="T9" s="83"/>
      <c r="U9" s="83"/>
      <c r="V9" s="83"/>
      <c r="W9" s="83"/>
    </row>
    <row r="10" spans="1:23" s="84" customFormat="1" ht="15" customHeight="1">
      <c r="A10" s="85" t="s">
        <v>486</v>
      </c>
      <c r="B10" s="82" t="s">
        <v>712</v>
      </c>
      <c r="C10" s="83"/>
      <c r="D10" s="83"/>
      <c r="E10" s="83"/>
      <c r="F10" s="83"/>
      <c r="G10" s="83"/>
      <c r="H10" s="83"/>
      <c r="I10" s="83"/>
      <c r="J10" s="83"/>
      <c r="K10" s="83"/>
      <c r="L10" s="83"/>
      <c r="M10" s="83"/>
      <c r="N10" s="83"/>
      <c r="O10" s="83"/>
      <c r="P10" s="83"/>
      <c r="Q10" s="83"/>
      <c r="R10" s="83"/>
      <c r="S10" s="83"/>
      <c r="T10" s="83"/>
      <c r="U10" s="83"/>
      <c r="V10" s="83"/>
      <c r="W10" s="83"/>
    </row>
    <row r="11" spans="1:23" s="89" customFormat="1" ht="15" customHeight="1">
      <c r="A11" s="86">
        <v>1</v>
      </c>
      <c r="B11" s="87" t="s">
        <v>722</v>
      </c>
      <c r="C11" s="88"/>
      <c r="D11" s="88"/>
      <c r="E11" s="88"/>
      <c r="F11" s="88"/>
      <c r="G11" s="88"/>
      <c r="H11" s="88"/>
      <c r="I11" s="88"/>
      <c r="J11" s="88"/>
      <c r="K11" s="88"/>
      <c r="L11" s="88"/>
      <c r="M11" s="88"/>
      <c r="N11" s="88"/>
      <c r="O11" s="88"/>
      <c r="P11" s="88"/>
      <c r="Q11" s="88"/>
      <c r="R11" s="88"/>
      <c r="S11" s="88"/>
      <c r="T11" s="88"/>
      <c r="U11" s="88"/>
      <c r="V11" s="88"/>
      <c r="W11" s="88"/>
    </row>
    <row r="12" spans="1:23" s="89" customFormat="1" ht="15" customHeight="1">
      <c r="A12" s="86"/>
      <c r="B12" s="87" t="s">
        <v>670</v>
      </c>
      <c r="C12" s="88"/>
      <c r="D12" s="88"/>
      <c r="E12" s="88"/>
      <c r="F12" s="88"/>
      <c r="G12" s="88"/>
      <c r="H12" s="88"/>
      <c r="I12" s="88"/>
      <c r="J12" s="88"/>
      <c r="K12" s="88"/>
      <c r="L12" s="88"/>
      <c r="M12" s="88"/>
      <c r="N12" s="88"/>
      <c r="O12" s="88"/>
      <c r="P12" s="88"/>
      <c r="Q12" s="88"/>
      <c r="R12" s="88"/>
      <c r="S12" s="88"/>
      <c r="T12" s="88"/>
      <c r="U12" s="88"/>
      <c r="V12" s="88"/>
      <c r="W12" s="88"/>
    </row>
    <row r="13" spans="1:23" s="84" customFormat="1" ht="15" customHeight="1">
      <c r="A13" s="86">
        <v>2</v>
      </c>
      <c r="B13" s="87" t="s">
        <v>723</v>
      </c>
      <c r="C13" s="90"/>
      <c r="D13" s="90"/>
      <c r="E13" s="90"/>
      <c r="F13" s="90"/>
      <c r="G13" s="90"/>
      <c r="H13" s="90"/>
      <c r="I13" s="90"/>
      <c r="J13" s="90"/>
      <c r="K13" s="90"/>
      <c r="L13" s="90"/>
      <c r="M13" s="90"/>
      <c r="N13" s="90"/>
      <c r="O13" s="90"/>
      <c r="P13" s="90"/>
      <c r="Q13" s="90"/>
      <c r="R13" s="90"/>
      <c r="S13" s="90"/>
      <c r="T13" s="90"/>
      <c r="U13" s="90"/>
      <c r="V13" s="90"/>
      <c r="W13" s="90"/>
    </row>
    <row r="14" spans="1:23" s="84" customFormat="1" ht="15" customHeight="1">
      <c r="A14" s="86"/>
      <c r="B14" s="87" t="s">
        <v>651</v>
      </c>
      <c r="C14" s="90"/>
      <c r="D14" s="90"/>
      <c r="E14" s="90"/>
      <c r="F14" s="90"/>
      <c r="G14" s="90"/>
      <c r="H14" s="90"/>
      <c r="I14" s="90"/>
      <c r="J14" s="90"/>
      <c r="K14" s="90"/>
      <c r="L14" s="90"/>
      <c r="M14" s="90"/>
      <c r="N14" s="90"/>
      <c r="O14" s="90"/>
      <c r="P14" s="90"/>
      <c r="Q14" s="90"/>
      <c r="R14" s="90"/>
      <c r="S14" s="90"/>
      <c r="T14" s="90"/>
      <c r="U14" s="90"/>
      <c r="V14" s="90"/>
      <c r="W14" s="90"/>
    </row>
    <row r="15" spans="1:23" s="84" customFormat="1" ht="15" customHeight="1">
      <c r="A15" s="86"/>
      <c r="B15" s="87" t="s">
        <v>670</v>
      </c>
      <c r="C15" s="90"/>
      <c r="D15" s="90"/>
      <c r="E15" s="90"/>
      <c r="F15" s="90"/>
      <c r="G15" s="90"/>
      <c r="H15" s="90"/>
      <c r="I15" s="90"/>
      <c r="J15" s="90"/>
      <c r="K15" s="90"/>
      <c r="L15" s="90"/>
      <c r="M15" s="90"/>
      <c r="N15" s="90"/>
      <c r="O15" s="90"/>
      <c r="P15" s="90"/>
      <c r="Q15" s="90"/>
      <c r="R15" s="90"/>
      <c r="S15" s="90"/>
      <c r="T15" s="90"/>
      <c r="U15" s="90"/>
      <c r="V15" s="90"/>
      <c r="W15" s="90"/>
    </row>
    <row r="16" spans="1:23" s="84" customFormat="1" ht="15" customHeight="1">
      <c r="A16" s="86">
        <v>3</v>
      </c>
      <c r="B16" s="87" t="s">
        <v>724</v>
      </c>
      <c r="C16" s="90"/>
      <c r="D16" s="90"/>
      <c r="E16" s="90"/>
      <c r="F16" s="90"/>
      <c r="G16" s="90"/>
      <c r="H16" s="90"/>
      <c r="I16" s="90"/>
      <c r="J16" s="90"/>
      <c r="K16" s="90"/>
      <c r="L16" s="90"/>
      <c r="M16" s="90"/>
      <c r="N16" s="90"/>
      <c r="O16" s="90"/>
      <c r="P16" s="90"/>
      <c r="Q16" s="90"/>
      <c r="R16" s="90"/>
      <c r="S16" s="90"/>
      <c r="T16" s="90"/>
      <c r="U16" s="90"/>
      <c r="V16" s="90"/>
      <c r="W16" s="90"/>
    </row>
    <row r="17" spans="1:23" s="84" customFormat="1" ht="15" customHeight="1">
      <c r="A17" s="86"/>
      <c r="B17" s="87" t="s">
        <v>670</v>
      </c>
      <c r="C17" s="90"/>
      <c r="D17" s="90"/>
      <c r="E17" s="90"/>
      <c r="F17" s="90"/>
      <c r="G17" s="90"/>
      <c r="H17" s="90"/>
      <c r="I17" s="90"/>
      <c r="J17" s="90"/>
      <c r="K17" s="90"/>
      <c r="L17" s="90"/>
      <c r="M17" s="90"/>
      <c r="N17" s="90"/>
      <c r="O17" s="90"/>
      <c r="P17" s="90"/>
      <c r="Q17" s="90"/>
      <c r="R17" s="90"/>
      <c r="S17" s="90"/>
      <c r="T17" s="90"/>
      <c r="U17" s="90"/>
      <c r="V17" s="90"/>
      <c r="W17" s="90"/>
    </row>
    <row r="18" spans="1:23" s="84" customFormat="1" ht="15" customHeight="1">
      <c r="A18" s="86">
        <v>4</v>
      </c>
      <c r="B18" s="87" t="s">
        <v>631</v>
      </c>
      <c r="C18" s="90"/>
      <c r="D18" s="90"/>
      <c r="E18" s="90"/>
      <c r="F18" s="90"/>
      <c r="G18" s="90"/>
      <c r="H18" s="90"/>
      <c r="I18" s="90"/>
      <c r="J18" s="90"/>
      <c r="K18" s="90"/>
      <c r="L18" s="90"/>
      <c r="M18" s="90"/>
      <c r="N18" s="90"/>
      <c r="O18" s="90"/>
      <c r="P18" s="90"/>
      <c r="Q18" s="90"/>
      <c r="R18" s="90"/>
      <c r="S18" s="90"/>
      <c r="T18" s="90"/>
      <c r="U18" s="90"/>
      <c r="V18" s="90"/>
      <c r="W18" s="90"/>
    </row>
    <row r="19" spans="1:23" s="84" customFormat="1" ht="15" customHeight="1">
      <c r="A19" s="86"/>
      <c r="B19" s="87" t="s">
        <v>670</v>
      </c>
      <c r="C19" s="90"/>
      <c r="D19" s="90"/>
      <c r="E19" s="90"/>
      <c r="F19" s="90"/>
      <c r="G19" s="90"/>
      <c r="H19" s="90"/>
      <c r="I19" s="90"/>
      <c r="J19" s="90"/>
      <c r="K19" s="90"/>
      <c r="L19" s="90"/>
      <c r="M19" s="90"/>
      <c r="N19" s="90"/>
      <c r="O19" s="90"/>
      <c r="P19" s="90"/>
      <c r="Q19" s="90"/>
      <c r="R19" s="90"/>
      <c r="S19" s="90"/>
      <c r="T19" s="90"/>
      <c r="U19" s="90"/>
      <c r="V19" s="90"/>
      <c r="W19" s="90"/>
    </row>
    <row r="20" spans="1:23" s="84" customFormat="1" ht="15" customHeight="1">
      <c r="A20" s="91" t="s">
        <v>484</v>
      </c>
      <c r="B20" s="92" t="s">
        <v>713</v>
      </c>
      <c r="C20" s="90"/>
      <c r="D20" s="90"/>
      <c r="E20" s="90"/>
      <c r="F20" s="90"/>
      <c r="G20" s="90"/>
      <c r="H20" s="90"/>
      <c r="I20" s="90"/>
      <c r="J20" s="90"/>
      <c r="K20" s="90"/>
      <c r="L20" s="90"/>
      <c r="M20" s="90"/>
      <c r="N20" s="90"/>
      <c r="O20" s="90"/>
      <c r="P20" s="90"/>
      <c r="Q20" s="90"/>
      <c r="R20" s="90"/>
      <c r="S20" s="90"/>
      <c r="T20" s="90"/>
      <c r="U20" s="90"/>
      <c r="V20" s="90"/>
      <c r="W20" s="90"/>
    </row>
    <row r="21" spans="1:23" s="84" customFormat="1" ht="15" customHeight="1">
      <c r="A21" s="86">
        <v>1</v>
      </c>
      <c r="B21" s="87" t="s">
        <v>723</v>
      </c>
      <c r="C21" s="90"/>
      <c r="D21" s="90"/>
      <c r="E21" s="90"/>
      <c r="F21" s="90"/>
      <c r="G21" s="90"/>
      <c r="H21" s="90"/>
      <c r="I21" s="90"/>
      <c r="J21" s="90"/>
      <c r="K21" s="90"/>
      <c r="L21" s="90"/>
      <c r="M21" s="90"/>
      <c r="N21" s="90"/>
      <c r="O21" s="90"/>
      <c r="P21" s="90"/>
      <c r="Q21" s="90"/>
      <c r="R21" s="90"/>
      <c r="S21" s="90"/>
      <c r="T21" s="90"/>
      <c r="U21" s="90"/>
      <c r="V21" s="90"/>
      <c r="W21" s="90"/>
    </row>
    <row r="22" spans="1:23" s="89" customFormat="1" ht="15" customHeight="1">
      <c r="A22" s="86"/>
      <c r="B22" s="87" t="s">
        <v>652</v>
      </c>
      <c r="C22" s="88"/>
      <c r="D22" s="88"/>
      <c r="E22" s="88"/>
      <c r="F22" s="88"/>
      <c r="G22" s="88"/>
      <c r="H22" s="88"/>
      <c r="I22" s="88"/>
      <c r="J22" s="88"/>
      <c r="K22" s="88"/>
      <c r="L22" s="88"/>
      <c r="M22" s="88"/>
      <c r="N22" s="88"/>
      <c r="O22" s="88"/>
      <c r="P22" s="88"/>
      <c r="Q22" s="88"/>
      <c r="R22" s="88"/>
      <c r="S22" s="88"/>
      <c r="T22" s="88"/>
      <c r="U22" s="88"/>
      <c r="V22" s="88"/>
      <c r="W22" s="88"/>
    </row>
    <row r="23" spans="1:23" s="89" customFormat="1" ht="15" customHeight="1">
      <c r="A23" s="86"/>
      <c r="B23" s="87" t="s">
        <v>670</v>
      </c>
      <c r="C23" s="88"/>
      <c r="D23" s="88"/>
      <c r="E23" s="88"/>
      <c r="F23" s="88"/>
      <c r="G23" s="88"/>
      <c r="H23" s="88"/>
      <c r="I23" s="88"/>
      <c r="J23" s="88"/>
      <c r="K23" s="88"/>
      <c r="L23" s="88"/>
      <c r="M23" s="88"/>
      <c r="N23" s="88"/>
      <c r="O23" s="88"/>
      <c r="P23" s="88"/>
      <c r="Q23" s="88"/>
      <c r="R23" s="88"/>
      <c r="S23" s="88"/>
      <c r="T23" s="88"/>
      <c r="U23" s="88"/>
      <c r="V23" s="88"/>
      <c r="W23" s="88"/>
    </row>
    <row r="24" spans="1:23" s="84" customFormat="1" ht="15" customHeight="1">
      <c r="A24" s="86">
        <v>2</v>
      </c>
      <c r="B24" s="87" t="s">
        <v>653</v>
      </c>
      <c r="C24" s="90"/>
      <c r="D24" s="90"/>
      <c r="E24" s="90"/>
      <c r="F24" s="90"/>
      <c r="G24" s="90"/>
      <c r="H24" s="90"/>
      <c r="I24" s="90"/>
      <c r="J24" s="90"/>
      <c r="K24" s="90"/>
      <c r="L24" s="90"/>
      <c r="M24" s="90"/>
      <c r="N24" s="90"/>
      <c r="O24" s="90"/>
      <c r="P24" s="90"/>
      <c r="Q24" s="90"/>
      <c r="R24" s="90"/>
      <c r="S24" s="90"/>
      <c r="T24" s="90"/>
      <c r="U24" s="90"/>
      <c r="V24" s="90"/>
      <c r="W24" s="90"/>
    </row>
    <row r="25" spans="1:23" s="84" customFormat="1" ht="15" customHeight="1">
      <c r="A25" s="86"/>
      <c r="B25" s="87" t="s">
        <v>670</v>
      </c>
      <c r="C25" s="90"/>
      <c r="D25" s="90"/>
      <c r="E25" s="90"/>
      <c r="F25" s="90"/>
      <c r="G25" s="90"/>
      <c r="H25" s="90"/>
      <c r="I25" s="90"/>
      <c r="J25" s="90"/>
      <c r="K25" s="90"/>
      <c r="L25" s="90"/>
      <c r="M25" s="90"/>
      <c r="N25" s="90"/>
      <c r="O25" s="90"/>
      <c r="P25" s="90"/>
      <c r="Q25" s="90"/>
      <c r="R25" s="90"/>
      <c r="S25" s="90"/>
      <c r="T25" s="90"/>
      <c r="U25" s="90"/>
      <c r="V25" s="90"/>
      <c r="W25" s="90"/>
    </row>
    <row r="26" spans="1:23" s="84" customFormat="1" ht="15" customHeight="1">
      <c r="A26" s="91" t="s">
        <v>496</v>
      </c>
      <c r="B26" s="92" t="s">
        <v>714</v>
      </c>
      <c r="C26" s="90"/>
      <c r="D26" s="90"/>
      <c r="E26" s="90"/>
      <c r="F26" s="90"/>
      <c r="G26" s="90"/>
      <c r="H26" s="90"/>
      <c r="I26" s="90"/>
      <c r="J26" s="90"/>
      <c r="K26" s="90"/>
      <c r="L26" s="90"/>
      <c r="M26" s="90"/>
      <c r="N26" s="90"/>
      <c r="O26" s="90"/>
      <c r="P26" s="90"/>
      <c r="Q26" s="90"/>
      <c r="R26" s="90"/>
      <c r="S26" s="90"/>
      <c r="T26" s="90"/>
      <c r="U26" s="90"/>
      <c r="V26" s="90"/>
      <c r="W26" s="90"/>
    </row>
    <row r="27" spans="1:23" s="84" customFormat="1" ht="15" customHeight="1">
      <c r="A27" s="86">
        <v>1</v>
      </c>
      <c r="B27" s="87" t="s">
        <v>671</v>
      </c>
      <c r="C27" s="90"/>
      <c r="D27" s="90"/>
      <c r="E27" s="90"/>
      <c r="F27" s="90" t="s">
        <v>894</v>
      </c>
      <c r="G27" s="90"/>
      <c r="H27" s="90"/>
      <c r="I27" s="90"/>
      <c r="J27" s="90"/>
      <c r="K27" s="90"/>
      <c r="L27" s="90"/>
      <c r="M27" s="90"/>
      <c r="N27" s="90"/>
      <c r="O27" s="90"/>
      <c r="P27" s="90"/>
      <c r="Q27" s="90"/>
      <c r="R27" s="90"/>
      <c r="S27" s="90"/>
      <c r="T27" s="90"/>
      <c r="U27" s="90"/>
      <c r="V27" s="90"/>
      <c r="W27" s="90"/>
    </row>
    <row r="28" spans="1:23" s="84" customFormat="1" ht="15" customHeight="1">
      <c r="A28" s="86">
        <v>2</v>
      </c>
      <c r="B28" s="87" t="s">
        <v>672</v>
      </c>
      <c r="C28" s="90"/>
      <c r="D28" s="90"/>
      <c r="E28" s="90"/>
      <c r="F28" s="90"/>
      <c r="G28" s="90"/>
      <c r="H28" s="90"/>
      <c r="I28" s="90"/>
      <c r="J28" s="90"/>
      <c r="K28" s="90"/>
      <c r="L28" s="90"/>
      <c r="M28" s="90"/>
      <c r="N28" s="90"/>
      <c r="O28" s="90"/>
      <c r="P28" s="90"/>
      <c r="Q28" s="90"/>
      <c r="R28" s="90"/>
      <c r="S28" s="90"/>
      <c r="T28" s="90"/>
      <c r="U28" s="90"/>
      <c r="V28" s="90"/>
      <c r="W28" s="90"/>
    </row>
    <row r="29" spans="1:23" s="84" customFormat="1" ht="15" customHeight="1">
      <c r="A29" s="86">
        <v>3</v>
      </c>
      <c r="B29" s="87" t="s">
        <v>680</v>
      </c>
      <c r="C29" s="90"/>
      <c r="D29" s="90"/>
      <c r="E29" s="90"/>
      <c r="F29" s="90"/>
      <c r="G29" s="90"/>
      <c r="H29" s="90"/>
      <c r="I29" s="90"/>
      <c r="J29" s="90"/>
      <c r="K29" s="90"/>
      <c r="L29" s="90"/>
      <c r="M29" s="90"/>
      <c r="N29" s="90"/>
      <c r="O29" s="90"/>
      <c r="P29" s="90"/>
      <c r="Q29" s="90"/>
      <c r="R29" s="90"/>
      <c r="S29" s="90"/>
      <c r="T29" s="90"/>
      <c r="U29" s="90"/>
      <c r="V29" s="90"/>
      <c r="W29" s="90"/>
    </row>
    <row r="30" spans="1:23" s="89" customFormat="1" ht="15" customHeight="1">
      <c r="A30" s="86">
        <v>4</v>
      </c>
      <c r="B30" s="87" t="s">
        <v>654</v>
      </c>
      <c r="C30" s="88"/>
      <c r="D30" s="88"/>
      <c r="E30" s="88"/>
      <c r="F30" s="88"/>
      <c r="G30" s="88"/>
      <c r="H30" s="88"/>
      <c r="I30" s="88"/>
      <c r="J30" s="88"/>
      <c r="K30" s="88"/>
      <c r="L30" s="88"/>
      <c r="M30" s="88"/>
      <c r="N30" s="88"/>
      <c r="O30" s="88"/>
      <c r="P30" s="88"/>
      <c r="Q30" s="88"/>
      <c r="R30" s="88"/>
      <c r="S30" s="88"/>
      <c r="T30" s="88"/>
      <c r="U30" s="88"/>
      <c r="V30" s="88"/>
      <c r="W30" s="88"/>
    </row>
    <row r="31" spans="1:23" s="89" customFormat="1" ht="15" customHeight="1">
      <c r="A31" s="86">
        <v>5</v>
      </c>
      <c r="B31" s="87" t="s">
        <v>673</v>
      </c>
      <c r="C31" s="88"/>
      <c r="D31" s="88"/>
      <c r="E31" s="88"/>
      <c r="F31" s="88"/>
      <c r="G31" s="88"/>
      <c r="H31" s="88"/>
      <c r="I31" s="88"/>
      <c r="J31" s="88"/>
      <c r="K31" s="88"/>
      <c r="L31" s="88"/>
      <c r="M31" s="88"/>
      <c r="N31" s="88"/>
      <c r="O31" s="88"/>
      <c r="P31" s="88"/>
      <c r="Q31" s="88"/>
      <c r="R31" s="88"/>
      <c r="S31" s="88"/>
      <c r="T31" s="88"/>
      <c r="U31" s="88"/>
      <c r="V31" s="88"/>
      <c r="W31" s="88"/>
    </row>
    <row r="32" spans="1:23" s="84" customFormat="1" ht="15" customHeight="1">
      <c r="A32" s="86">
        <v>6</v>
      </c>
      <c r="B32" s="87" t="s">
        <v>655</v>
      </c>
      <c r="C32" s="90"/>
      <c r="D32" s="90"/>
      <c r="E32" s="90"/>
      <c r="F32" s="90"/>
      <c r="G32" s="90"/>
      <c r="H32" s="90"/>
      <c r="I32" s="90"/>
      <c r="J32" s="90"/>
      <c r="K32" s="90"/>
      <c r="L32" s="90"/>
      <c r="M32" s="90"/>
      <c r="N32" s="90"/>
      <c r="O32" s="90"/>
      <c r="P32" s="90"/>
      <c r="Q32" s="90"/>
      <c r="R32" s="90"/>
      <c r="S32" s="90"/>
      <c r="T32" s="90"/>
      <c r="U32" s="90"/>
      <c r="V32" s="90"/>
      <c r="W32" s="90"/>
    </row>
    <row r="33" spans="1:23" s="84" customFormat="1" ht="15" customHeight="1">
      <c r="A33" s="93"/>
      <c r="B33" s="94" t="s">
        <v>646</v>
      </c>
      <c r="C33" s="90"/>
      <c r="D33" s="90"/>
      <c r="E33" s="90"/>
      <c r="F33" s="90"/>
      <c r="G33" s="90"/>
      <c r="H33" s="90"/>
      <c r="I33" s="90"/>
      <c r="J33" s="90"/>
      <c r="K33" s="90"/>
      <c r="L33" s="90"/>
      <c r="M33" s="90"/>
      <c r="N33" s="90"/>
      <c r="O33" s="90"/>
      <c r="P33" s="90"/>
      <c r="Q33" s="90"/>
      <c r="R33" s="90"/>
      <c r="S33" s="90"/>
      <c r="T33" s="90"/>
      <c r="U33" s="90"/>
      <c r="V33" s="90"/>
      <c r="W33" s="90"/>
    </row>
    <row r="34" spans="1:23" s="84" customFormat="1" ht="15" customHeight="1">
      <c r="A34" s="95"/>
      <c r="B34" s="96"/>
      <c r="C34" s="97"/>
      <c r="D34" s="97"/>
      <c r="E34" s="97"/>
      <c r="F34" s="97"/>
      <c r="G34" s="97"/>
      <c r="H34" s="97"/>
      <c r="I34" s="97"/>
      <c r="J34" s="97"/>
      <c r="K34" s="97"/>
      <c r="L34" s="97"/>
      <c r="M34" s="97"/>
      <c r="N34" s="97"/>
      <c r="O34" s="97"/>
      <c r="P34" s="97"/>
      <c r="Q34" s="97"/>
      <c r="R34" s="97"/>
      <c r="S34" s="97"/>
      <c r="T34" s="97"/>
      <c r="U34" s="97"/>
      <c r="V34" s="97"/>
      <c r="W34" s="97"/>
    </row>
    <row r="35" spans="1:23" s="84" customFormat="1" ht="18" customHeight="1">
      <c r="A35" s="98"/>
      <c r="B35" s="99"/>
      <c r="C35" s="100"/>
      <c r="D35" s="100"/>
      <c r="E35" s="100"/>
      <c r="F35" s="100"/>
      <c r="G35" s="100"/>
      <c r="H35" s="100"/>
      <c r="I35" s="100"/>
      <c r="J35" s="100"/>
      <c r="K35" s="100"/>
      <c r="L35" s="100"/>
      <c r="M35" s="100"/>
      <c r="N35" s="100"/>
      <c r="O35" s="100"/>
      <c r="P35" s="100"/>
      <c r="Q35" s="100"/>
      <c r="R35" s="100"/>
      <c r="S35" s="100"/>
      <c r="T35" s="100"/>
      <c r="U35" s="100"/>
      <c r="V35" s="100"/>
      <c r="W35" s="100"/>
    </row>
  </sheetData>
  <sheetProtection/>
  <mergeCells count="25">
    <mergeCell ref="A1:W1"/>
    <mergeCell ref="A3:W3"/>
    <mergeCell ref="A4:A7"/>
    <mergeCell ref="B4:B7"/>
    <mergeCell ref="W4:W7"/>
    <mergeCell ref="R5:R7"/>
    <mergeCell ref="S5:V5"/>
    <mergeCell ref="U6:V6"/>
    <mergeCell ref="I6:J6"/>
    <mergeCell ref="K6:L6"/>
    <mergeCell ref="R4:V4"/>
    <mergeCell ref="S6:T6"/>
    <mergeCell ref="P6:Q6"/>
    <mergeCell ref="H5:H7"/>
    <mergeCell ref="I5:L5"/>
    <mergeCell ref="M5:M7"/>
    <mergeCell ref="C4:G4"/>
    <mergeCell ref="H4:L4"/>
    <mergeCell ref="M4:Q4"/>
    <mergeCell ref="C5:C7"/>
    <mergeCell ref="D5:G5"/>
    <mergeCell ref="D6:E6"/>
    <mergeCell ref="F6:G6"/>
    <mergeCell ref="N5:Q5"/>
    <mergeCell ref="N6:O6"/>
  </mergeCells>
  <printOptions/>
  <pageMargins left="0.58" right="0.28" top="0.62" bottom="0.2" header="0.41"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F55"/>
  <sheetViews>
    <sheetView showZeros="0" zoomScale="85" zoomScaleNormal="85" zoomScalePageLayoutView="0" workbookViewId="0" topLeftCell="A4">
      <pane ySplit="5" topLeftCell="A42" activePane="bottomLeft" state="frozen"/>
      <selection pane="topLeft" activeCell="K19" sqref="K19"/>
      <selection pane="bottomLeft" activeCell="E49" sqref="E49"/>
    </sheetView>
  </sheetViews>
  <sheetFormatPr defaultColWidth="8.796875" defaultRowHeight="15"/>
  <cols>
    <col min="1" max="1" width="4.19921875" style="209" customWidth="1"/>
    <col min="2" max="2" width="26.09765625" style="209" customWidth="1"/>
    <col min="3" max="3" width="8.5" style="209" bestFit="1" customWidth="1"/>
    <col min="4" max="5" width="8.3984375" style="209" bestFit="1" customWidth="1"/>
    <col min="6" max="7" width="7.5" style="209" bestFit="1" customWidth="1"/>
    <col min="8" max="8" width="8.5" style="209" bestFit="1" customWidth="1"/>
    <col min="9" max="9" width="7.8984375" style="209" bestFit="1" customWidth="1"/>
    <col min="10" max="10" width="8.3984375" style="209" bestFit="1" customWidth="1"/>
    <col min="11" max="12" width="7" style="209" bestFit="1" customWidth="1"/>
    <col min="13" max="13" width="8.5" style="209" bestFit="1" customWidth="1"/>
    <col min="14" max="15" width="8.3984375" style="209" bestFit="1" customWidth="1"/>
    <col min="16" max="17" width="7" style="209" bestFit="1" customWidth="1"/>
    <col min="18" max="18" width="9.5" style="209" bestFit="1" customWidth="1"/>
    <col min="19" max="19" width="8.3984375" style="209" bestFit="1" customWidth="1"/>
    <col min="20" max="20" width="9.3984375" style="209" bestFit="1" customWidth="1"/>
    <col min="21" max="21" width="7.5" style="209" bestFit="1" customWidth="1"/>
    <col min="22" max="22" width="7.8984375" style="209" bestFit="1" customWidth="1"/>
    <col min="23" max="23" width="7.59765625" style="224" customWidth="1"/>
    <col min="24" max="16384" width="9" style="209" customWidth="1"/>
  </cols>
  <sheetData>
    <row r="1" spans="1:58" s="183" customFormat="1" ht="31.5" customHeight="1">
      <c r="A1" s="1371" t="s">
        <v>845</v>
      </c>
      <c r="B1" s="1371"/>
      <c r="C1" s="1371"/>
      <c r="D1" s="1371"/>
      <c r="E1" s="1371"/>
      <c r="F1" s="1371"/>
      <c r="G1" s="1371"/>
      <c r="H1" s="1371"/>
      <c r="I1" s="1371"/>
      <c r="J1" s="1371"/>
      <c r="K1" s="1371"/>
      <c r="L1" s="1371"/>
      <c r="M1" s="1371"/>
      <c r="N1" s="1371"/>
      <c r="O1" s="1371"/>
      <c r="P1" s="1371"/>
      <c r="Q1" s="1371"/>
      <c r="R1" s="1371"/>
      <c r="S1" s="1371"/>
      <c r="T1" s="1371"/>
      <c r="U1" s="1371"/>
      <c r="V1" s="1371"/>
      <c r="W1" s="137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2"/>
    </row>
    <row r="2" spans="1:58" s="183" customFormat="1" ht="19.5" customHeight="1">
      <c r="A2" s="1375" t="str">
        <f>+'Bieu 1-cu'!A2:F2</f>
        <v>(Kèm theo Kế hoạch số:         /KH/SNN-CCTL, ngày         / 7 /2014 của Sở Nông nghiệp và PTNT Phú Thọ)</v>
      </c>
      <c r="B2" s="1375"/>
      <c r="C2" s="1375"/>
      <c r="D2" s="1375"/>
      <c r="E2" s="1375"/>
      <c r="F2" s="1375"/>
      <c r="G2" s="1375"/>
      <c r="H2" s="1375"/>
      <c r="I2" s="1375"/>
      <c r="J2" s="1375"/>
      <c r="K2" s="1375"/>
      <c r="L2" s="1375"/>
      <c r="M2" s="1375"/>
      <c r="N2" s="1375"/>
      <c r="O2" s="1375"/>
      <c r="P2" s="1375"/>
      <c r="Q2" s="1375"/>
      <c r="R2" s="1375"/>
      <c r="S2" s="1375"/>
      <c r="T2" s="1375"/>
      <c r="U2" s="1375"/>
      <c r="V2" s="1375"/>
      <c r="W2" s="1375"/>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2"/>
    </row>
    <row r="3" spans="1:58" s="183" customFormat="1" ht="18" customHeight="1">
      <c r="A3" s="184"/>
      <c r="B3" s="185"/>
      <c r="C3" s="185"/>
      <c r="D3" s="185"/>
      <c r="E3" s="182"/>
      <c r="F3" s="182"/>
      <c r="G3" s="182"/>
      <c r="H3" s="185"/>
      <c r="I3" s="185"/>
      <c r="J3" s="182"/>
      <c r="K3" s="182"/>
      <c r="L3" s="182"/>
      <c r="M3" s="185"/>
      <c r="N3" s="185"/>
      <c r="O3" s="182"/>
      <c r="P3" s="182"/>
      <c r="Q3" s="186"/>
      <c r="R3" s="185"/>
      <c r="S3" s="185"/>
      <c r="T3" s="1372" t="s">
        <v>650</v>
      </c>
      <c r="U3" s="1372"/>
      <c r="V3" s="1372"/>
      <c r="W3" s="137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row>
    <row r="4" spans="1:58" s="188" customFormat="1" ht="32.25" customHeight="1">
      <c r="A4" s="1373" t="s">
        <v>488</v>
      </c>
      <c r="B4" s="1373" t="s">
        <v>656</v>
      </c>
      <c r="C4" s="1373" t="s">
        <v>718</v>
      </c>
      <c r="D4" s="1373"/>
      <c r="E4" s="1373"/>
      <c r="F4" s="1373"/>
      <c r="G4" s="1373"/>
      <c r="H4" s="1373" t="s">
        <v>719</v>
      </c>
      <c r="I4" s="1373"/>
      <c r="J4" s="1373"/>
      <c r="K4" s="1373"/>
      <c r="L4" s="1373"/>
      <c r="M4" s="1373" t="s">
        <v>720</v>
      </c>
      <c r="N4" s="1373"/>
      <c r="O4" s="1373"/>
      <c r="P4" s="1373"/>
      <c r="Q4" s="1373"/>
      <c r="R4" s="1373" t="s">
        <v>711</v>
      </c>
      <c r="S4" s="1373"/>
      <c r="T4" s="1373"/>
      <c r="U4" s="1373"/>
      <c r="V4" s="1373"/>
      <c r="W4" s="1373" t="s">
        <v>715</v>
      </c>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row>
    <row r="5" spans="1:58" s="188" customFormat="1" ht="21.75" customHeight="1">
      <c r="A5" s="1373"/>
      <c r="B5" s="1373"/>
      <c r="C5" s="1373" t="s">
        <v>639</v>
      </c>
      <c r="D5" s="1374" t="s">
        <v>640</v>
      </c>
      <c r="E5" s="1374"/>
      <c r="F5" s="1374"/>
      <c r="G5" s="1374"/>
      <c r="H5" s="1373" t="s">
        <v>639</v>
      </c>
      <c r="I5" s="1374" t="s">
        <v>640</v>
      </c>
      <c r="J5" s="1374"/>
      <c r="K5" s="1374"/>
      <c r="L5" s="1374"/>
      <c r="M5" s="1373" t="s">
        <v>639</v>
      </c>
      <c r="N5" s="1374" t="s">
        <v>640</v>
      </c>
      <c r="O5" s="1374"/>
      <c r="P5" s="1374"/>
      <c r="Q5" s="1374"/>
      <c r="R5" s="1373" t="s">
        <v>639</v>
      </c>
      <c r="S5" s="1374" t="s">
        <v>640</v>
      </c>
      <c r="T5" s="1374"/>
      <c r="U5" s="1374"/>
      <c r="V5" s="1374"/>
      <c r="W5" s="1373"/>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row>
    <row r="6" spans="1:58" s="188" customFormat="1" ht="21.75" customHeight="1">
      <c r="A6" s="1373"/>
      <c r="B6" s="1373"/>
      <c r="C6" s="1373"/>
      <c r="D6" s="1374" t="s">
        <v>643</v>
      </c>
      <c r="E6" s="1374"/>
      <c r="F6" s="1374" t="s">
        <v>644</v>
      </c>
      <c r="G6" s="1374"/>
      <c r="H6" s="1373"/>
      <c r="I6" s="1374" t="s">
        <v>643</v>
      </c>
      <c r="J6" s="1374"/>
      <c r="K6" s="1374" t="s">
        <v>644</v>
      </c>
      <c r="L6" s="1374"/>
      <c r="M6" s="1373"/>
      <c r="N6" s="1374" t="s">
        <v>643</v>
      </c>
      <c r="O6" s="1374"/>
      <c r="P6" s="1374" t="s">
        <v>644</v>
      </c>
      <c r="Q6" s="1374"/>
      <c r="R6" s="1373"/>
      <c r="S6" s="1374" t="s">
        <v>643</v>
      </c>
      <c r="T6" s="1374"/>
      <c r="U6" s="1374" t="s">
        <v>644</v>
      </c>
      <c r="V6" s="1374"/>
      <c r="W6" s="1373"/>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row>
    <row r="7" spans="1:58" s="188" customFormat="1" ht="39.75" customHeight="1">
      <c r="A7" s="1373"/>
      <c r="B7" s="1373"/>
      <c r="C7" s="1373"/>
      <c r="D7" s="189" t="s">
        <v>641</v>
      </c>
      <c r="E7" s="189" t="s">
        <v>642</v>
      </c>
      <c r="F7" s="189" t="s">
        <v>641</v>
      </c>
      <c r="G7" s="189" t="s">
        <v>642</v>
      </c>
      <c r="H7" s="1373"/>
      <c r="I7" s="189" t="s">
        <v>641</v>
      </c>
      <c r="J7" s="189" t="s">
        <v>642</v>
      </c>
      <c r="K7" s="189" t="s">
        <v>641</v>
      </c>
      <c r="L7" s="189" t="s">
        <v>642</v>
      </c>
      <c r="M7" s="1373"/>
      <c r="N7" s="189" t="s">
        <v>641</v>
      </c>
      <c r="O7" s="189" t="s">
        <v>642</v>
      </c>
      <c r="P7" s="189" t="s">
        <v>641</v>
      </c>
      <c r="Q7" s="189" t="s">
        <v>642</v>
      </c>
      <c r="R7" s="1373"/>
      <c r="S7" s="189" t="s">
        <v>641</v>
      </c>
      <c r="T7" s="189" t="s">
        <v>642</v>
      </c>
      <c r="U7" s="189" t="s">
        <v>641</v>
      </c>
      <c r="V7" s="189" t="s">
        <v>642</v>
      </c>
      <c r="W7" s="1373"/>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row>
    <row r="8" spans="1:58" s="188" customFormat="1" ht="19.5" customHeight="1">
      <c r="A8" s="190"/>
      <c r="B8" s="191" t="s">
        <v>639</v>
      </c>
      <c r="C8" s="251">
        <f>SUM(D8:G8)</f>
        <v>80452</v>
      </c>
      <c r="D8" s="251">
        <f>+D9+D40+D45</f>
        <v>28912</v>
      </c>
      <c r="E8" s="251">
        <f>+E9+E40+E45</f>
        <v>47400</v>
      </c>
      <c r="F8" s="251">
        <f>+F9+F40+F45</f>
        <v>1240</v>
      </c>
      <c r="G8" s="251">
        <f>+G9+G40+G45</f>
        <v>2900</v>
      </c>
      <c r="H8" s="251" t="e">
        <f>SUM(I8:L8)</f>
        <v>#REF!</v>
      </c>
      <c r="I8" s="251" t="e">
        <f>+I9+I40+I45</f>
        <v>#REF!</v>
      </c>
      <c r="J8" s="251" t="e">
        <f>+J9+J40+J45</f>
        <v>#REF!</v>
      </c>
      <c r="K8" s="251">
        <f>+K9+K40+K45</f>
        <v>920</v>
      </c>
      <c r="L8" s="251">
        <f>+L9+L40+L45</f>
        <v>1200</v>
      </c>
      <c r="M8" s="251">
        <f>SUM(N8:Q8)</f>
        <v>80452</v>
      </c>
      <c r="N8" s="251">
        <f>+N9+N40+N45</f>
        <v>28912</v>
      </c>
      <c r="O8" s="251">
        <f>+O9+O40+O45</f>
        <v>47400</v>
      </c>
      <c r="P8" s="251">
        <f>+P9+P40+P45</f>
        <v>1240</v>
      </c>
      <c r="Q8" s="251">
        <f>+Q9+Q40+Q45</f>
        <v>2900</v>
      </c>
      <c r="R8" s="251" t="e">
        <f aca="true" t="shared" si="0" ref="R8:R42">SUM(S8:V8)</f>
        <v>#REF!</v>
      </c>
      <c r="S8" s="251" t="e">
        <f>+S9+S40+S45</f>
        <v>#REF!</v>
      </c>
      <c r="T8" s="251">
        <f>+T9+T40+T45</f>
        <v>341000</v>
      </c>
      <c r="U8" s="251">
        <f>+U9+U40+U45</f>
        <v>3500</v>
      </c>
      <c r="V8" s="251">
        <f>+V9+V40+V45</f>
        <v>13759</v>
      </c>
      <c r="W8" s="21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row>
    <row r="9" spans="1:58" s="195" customFormat="1" ht="19.5" customHeight="1">
      <c r="A9" s="192" t="s">
        <v>607</v>
      </c>
      <c r="B9" s="193" t="s">
        <v>814</v>
      </c>
      <c r="C9" s="252">
        <f aca="true" t="shared" si="1" ref="C9:C40">SUM(D9:G9)</f>
        <v>74012</v>
      </c>
      <c r="D9" s="252">
        <f>+D10+D35+D37</f>
        <v>27612</v>
      </c>
      <c r="E9" s="252">
        <f>+E10+E35+E37</f>
        <v>46400</v>
      </c>
      <c r="F9" s="252">
        <f>+F10+F35+F37</f>
        <v>0</v>
      </c>
      <c r="G9" s="252">
        <f>+G10+G35+G37</f>
        <v>0</v>
      </c>
      <c r="H9" s="252" t="e">
        <f>SUM(I9:L9)</f>
        <v>#REF!</v>
      </c>
      <c r="I9" s="252" t="e">
        <f>+I10+I35+I37</f>
        <v>#REF!</v>
      </c>
      <c r="J9" s="252" t="e">
        <f>+J10+J35+J37</f>
        <v>#REF!</v>
      </c>
      <c r="K9" s="252">
        <f>+K10+K35+K37</f>
        <v>0</v>
      </c>
      <c r="L9" s="252">
        <f>+L10+L35+L37</f>
        <v>0</v>
      </c>
      <c r="M9" s="252">
        <f>SUM(N9:Q9)</f>
        <v>74012</v>
      </c>
      <c r="N9" s="252">
        <f>+N10+N35+N37</f>
        <v>27612</v>
      </c>
      <c r="O9" s="252">
        <f>+O10+O35+O37</f>
        <v>46400</v>
      </c>
      <c r="P9" s="252">
        <f>+P10+P35+P37</f>
        <v>0</v>
      </c>
      <c r="Q9" s="252">
        <f>+Q10+Q35+Q37</f>
        <v>0</v>
      </c>
      <c r="R9" s="252" t="e">
        <f t="shared" si="0"/>
        <v>#REF!</v>
      </c>
      <c r="S9" s="252" t="e">
        <f>+S10+S35+S37</f>
        <v>#REF!</v>
      </c>
      <c r="T9" s="252">
        <f>+T10+T35+T37</f>
        <v>340000</v>
      </c>
      <c r="U9" s="252">
        <f>+U10+U35+U37</f>
        <v>0</v>
      </c>
      <c r="V9" s="252">
        <f>+V10+V35+V37</f>
        <v>0</v>
      </c>
      <c r="W9" s="220"/>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row>
    <row r="10" spans="1:58" s="199" customFormat="1" ht="19.5" customHeight="1">
      <c r="A10" s="196" t="s">
        <v>486</v>
      </c>
      <c r="B10" s="197" t="s">
        <v>812</v>
      </c>
      <c r="C10" s="253">
        <f>SUM(D10:G10)</f>
        <v>65100</v>
      </c>
      <c r="D10" s="253">
        <f>+D11+D19+D22+D26+D32</f>
        <v>23700</v>
      </c>
      <c r="E10" s="253">
        <f>+E11+E19+E22+E26+E32</f>
        <v>41400</v>
      </c>
      <c r="F10" s="253">
        <f>+F11+F19+F22+F26+F32</f>
        <v>0</v>
      </c>
      <c r="G10" s="253">
        <f>+G11+G19+G22+G26+G32</f>
        <v>0</v>
      </c>
      <c r="H10" s="253" t="e">
        <f>SUM(I10:L10)</f>
        <v>#REF!</v>
      </c>
      <c r="I10" s="253" t="e">
        <f>+I11+I19+I22+I26+I32</f>
        <v>#REF!</v>
      </c>
      <c r="J10" s="253" t="e">
        <f>+J11+J19+J22+J26+J32</f>
        <v>#REF!</v>
      </c>
      <c r="K10" s="253">
        <f>+K11+K19+K22+K26+K32</f>
        <v>0</v>
      </c>
      <c r="L10" s="253">
        <f>+L11+L19+L22+L26+L32</f>
        <v>0</v>
      </c>
      <c r="M10" s="253">
        <f>SUM(N10:Q10)</f>
        <v>65100</v>
      </c>
      <c r="N10" s="253">
        <f>+N11+N19+N22+N26+N32</f>
        <v>23700</v>
      </c>
      <c r="O10" s="253">
        <f>+O11+O19+O22+O26+O32</f>
        <v>41400</v>
      </c>
      <c r="P10" s="253">
        <f>+P11+P19+P22+P26+P32</f>
        <v>0</v>
      </c>
      <c r="Q10" s="253">
        <f>+Q11+Q19+Q22+Q26+Q32</f>
        <v>0</v>
      </c>
      <c r="R10" s="253" t="e">
        <f t="shared" si="0"/>
        <v>#REF!</v>
      </c>
      <c r="S10" s="253" t="e">
        <f>+S11+S19+S22+S26+S32</f>
        <v>#REF!</v>
      </c>
      <c r="T10" s="253">
        <f>+T11+T19+T22+T26+T32</f>
        <v>332000</v>
      </c>
      <c r="U10" s="253">
        <f>+U11+U19+U22+U26+U32</f>
        <v>0</v>
      </c>
      <c r="V10" s="253">
        <f>+V11+V19+V22+V26+V32</f>
        <v>0</v>
      </c>
      <c r="W10" s="221"/>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row>
    <row r="11" spans="1:58" s="203" customFormat="1" ht="19.5" customHeight="1">
      <c r="A11" s="200">
        <v>1</v>
      </c>
      <c r="B11" s="201" t="s">
        <v>668</v>
      </c>
      <c r="C11" s="254">
        <f t="shared" si="1"/>
        <v>15800</v>
      </c>
      <c r="D11" s="254">
        <f>SUM(D12:D18)</f>
        <v>15800</v>
      </c>
      <c r="E11" s="254">
        <f>SUM(E12:E18)</f>
        <v>0</v>
      </c>
      <c r="F11" s="254">
        <f>SUM(F12:F18)</f>
        <v>0</v>
      </c>
      <c r="G11" s="254">
        <f>SUM(G12:G18)</f>
        <v>0</v>
      </c>
      <c r="H11" s="254">
        <f>SUM(I11:L11)</f>
        <v>0</v>
      </c>
      <c r="I11" s="254">
        <f>SUM(I12:I18)</f>
        <v>0</v>
      </c>
      <c r="J11" s="254">
        <f>SUM(J12:J18)</f>
        <v>0</v>
      </c>
      <c r="K11" s="254">
        <f>SUM(K12:K18)</f>
        <v>0</v>
      </c>
      <c r="L11" s="254">
        <f>SUM(L12:L18)</f>
        <v>0</v>
      </c>
      <c r="M11" s="254">
        <f>SUM(N11:Q11)</f>
        <v>15800</v>
      </c>
      <c r="N11" s="254">
        <f>SUM(N12:N18)</f>
        <v>15800</v>
      </c>
      <c r="O11" s="254">
        <f>SUM(O12:O18)</f>
        <v>0</v>
      </c>
      <c r="P11" s="254">
        <f>SUM(P12:P18)</f>
        <v>0</v>
      </c>
      <c r="Q11" s="254">
        <f>SUM(Q12:Q18)</f>
        <v>0</v>
      </c>
      <c r="R11" s="254" t="e">
        <f t="shared" si="0"/>
        <v>#REF!</v>
      </c>
      <c r="S11" s="254" t="e">
        <f>SUM(S12:S18)</f>
        <v>#REF!</v>
      </c>
      <c r="T11" s="254">
        <f>SUM(T12:T18)</f>
        <v>0</v>
      </c>
      <c r="U11" s="254">
        <f>SUM(U12:U18)</f>
        <v>0</v>
      </c>
      <c r="V11" s="254">
        <f>SUM(V12:V18)</f>
        <v>0</v>
      </c>
      <c r="W11" s="22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row>
    <row r="12" spans="1:58" s="219" customFormat="1" ht="45">
      <c r="A12" s="204" t="s">
        <v>815</v>
      </c>
      <c r="B12" s="205" t="s">
        <v>931</v>
      </c>
      <c r="C12" s="255"/>
      <c r="D12" s="255"/>
      <c r="E12" s="255"/>
      <c r="F12" s="255"/>
      <c r="G12" s="255"/>
      <c r="H12" s="255"/>
      <c r="I12" s="255"/>
      <c r="J12" s="255"/>
      <c r="K12" s="255"/>
      <c r="L12" s="255"/>
      <c r="M12" s="255"/>
      <c r="N12" s="255"/>
      <c r="O12" s="255"/>
      <c r="P12" s="255"/>
      <c r="Q12" s="255"/>
      <c r="R12" s="256" t="e">
        <f t="shared" si="0"/>
        <v>#REF!</v>
      </c>
      <c r="S12" s="255" t="e">
        <f>+'Bieu 3 (cu)'!#REF!</f>
        <v>#REF!</v>
      </c>
      <c r="T12" s="255"/>
      <c r="U12" s="255"/>
      <c r="V12" s="255"/>
      <c r="W12" s="223"/>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row>
    <row r="13" spans="1:58" s="183" customFormat="1" ht="45">
      <c r="A13" s="204" t="s">
        <v>816</v>
      </c>
      <c r="B13" s="205" t="s">
        <v>797</v>
      </c>
      <c r="C13" s="256">
        <f>SUM(D13:G13)</f>
        <v>100</v>
      </c>
      <c r="D13" s="256">
        <v>100</v>
      </c>
      <c r="E13" s="206"/>
      <c r="F13" s="206"/>
      <c r="G13" s="206"/>
      <c r="H13" s="256">
        <f aca="true" t="shared" si="2" ref="H13:H18">SUM(I13:L13)</f>
        <v>0</v>
      </c>
      <c r="I13" s="256"/>
      <c r="J13" s="206"/>
      <c r="K13" s="206"/>
      <c r="L13" s="206"/>
      <c r="M13" s="256">
        <f>SUM(N13:Q13)</f>
        <v>100</v>
      </c>
      <c r="N13" s="256">
        <f>+D13</f>
        <v>100</v>
      </c>
      <c r="O13" s="256">
        <f aca="true" t="shared" si="3" ref="N13:Q18">+E13</f>
        <v>0</v>
      </c>
      <c r="P13" s="256">
        <f t="shared" si="3"/>
        <v>0</v>
      </c>
      <c r="Q13" s="256">
        <f t="shared" si="3"/>
        <v>0</v>
      </c>
      <c r="R13" s="256">
        <f t="shared" si="0"/>
        <v>0</v>
      </c>
      <c r="S13" s="256"/>
      <c r="T13" s="256"/>
      <c r="U13" s="256"/>
      <c r="V13" s="256"/>
      <c r="W13" s="189"/>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row>
    <row r="14" spans="1:58" s="183" customFormat="1" ht="30">
      <c r="A14" s="204" t="s">
        <v>817</v>
      </c>
      <c r="B14" s="207" t="s">
        <v>798</v>
      </c>
      <c r="C14" s="256">
        <f>SUM(D14:G14)</f>
        <v>200</v>
      </c>
      <c r="D14" s="256">
        <v>200</v>
      </c>
      <c r="E14" s="206"/>
      <c r="F14" s="206"/>
      <c r="G14" s="206"/>
      <c r="H14" s="256">
        <f t="shared" si="2"/>
        <v>0</v>
      </c>
      <c r="I14" s="256"/>
      <c r="J14" s="206"/>
      <c r="K14" s="206"/>
      <c r="L14" s="206"/>
      <c r="M14" s="256"/>
      <c r="N14" s="256">
        <f t="shared" si="3"/>
        <v>200</v>
      </c>
      <c r="O14" s="256">
        <f t="shared" si="3"/>
        <v>0</v>
      </c>
      <c r="P14" s="256">
        <f t="shared" si="3"/>
        <v>0</v>
      </c>
      <c r="Q14" s="256">
        <f t="shared" si="3"/>
        <v>0</v>
      </c>
      <c r="R14" s="256">
        <f t="shared" si="0"/>
        <v>0</v>
      </c>
      <c r="S14" s="256"/>
      <c r="T14" s="256"/>
      <c r="U14" s="256"/>
      <c r="V14" s="256"/>
      <c r="W14" s="189"/>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row>
    <row r="15" spans="1:58" s="183" customFormat="1" ht="30">
      <c r="A15" s="204" t="s">
        <v>819</v>
      </c>
      <c r="B15" s="205" t="s">
        <v>818</v>
      </c>
      <c r="C15" s="256">
        <f>SUM(D15:G15)</f>
        <v>1000</v>
      </c>
      <c r="D15" s="256">
        <f>500+500</f>
        <v>1000</v>
      </c>
      <c r="E15" s="206"/>
      <c r="F15" s="206"/>
      <c r="G15" s="206"/>
      <c r="H15" s="256">
        <f t="shared" si="2"/>
        <v>0</v>
      </c>
      <c r="I15" s="256"/>
      <c r="J15" s="206"/>
      <c r="K15" s="206"/>
      <c r="L15" s="206"/>
      <c r="M15" s="256">
        <f aca="true" t="shared" si="4" ref="M15:M41">SUM(N15:Q15)</f>
        <v>1000</v>
      </c>
      <c r="N15" s="256">
        <f t="shared" si="3"/>
        <v>1000</v>
      </c>
      <c r="O15" s="256">
        <f t="shared" si="3"/>
        <v>0</v>
      </c>
      <c r="P15" s="256">
        <f t="shared" si="3"/>
        <v>0</v>
      </c>
      <c r="Q15" s="256">
        <f t="shared" si="3"/>
        <v>0</v>
      </c>
      <c r="R15" s="256">
        <f t="shared" si="0"/>
        <v>0</v>
      </c>
      <c r="S15" s="256"/>
      <c r="T15" s="256"/>
      <c r="U15" s="256"/>
      <c r="V15" s="256"/>
      <c r="W15" s="189"/>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row>
    <row r="16" spans="1:58" s="183" customFormat="1" ht="45">
      <c r="A16" s="204" t="s">
        <v>821</v>
      </c>
      <c r="B16" s="208" t="s">
        <v>820</v>
      </c>
      <c r="C16" s="256">
        <f>SUM(D16:G16)</f>
        <v>1500</v>
      </c>
      <c r="D16" s="256">
        <v>1500</v>
      </c>
      <c r="E16" s="206"/>
      <c r="F16" s="206"/>
      <c r="G16" s="206"/>
      <c r="H16" s="256">
        <f t="shared" si="2"/>
        <v>0</v>
      </c>
      <c r="I16" s="256"/>
      <c r="J16" s="206"/>
      <c r="K16" s="206"/>
      <c r="L16" s="206"/>
      <c r="M16" s="256">
        <f t="shared" si="4"/>
        <v>1500</v>
      </c>
      <c r="N16" s="256">
        <f t="shared" si="3"/>
        <v>1500</v>
      </c>
      <c r="O16" s="256">
        <f t="shared" si="3"/>
        <v>0</v>
      </c>
      <c r="P16" s="256">
        <f t="shared" si="3"/>
        <v>0</v>
      </c>
      <c r="Q16" s="256">
        <f t="shared" si="3"/>
        <v>0</v>
      </c>
      <c r="R16" s="256">
        <f t="shared" si="0"/>
        <v>0</v>
      </c>
      <c r="S16" s="256"/>
      <c r="T16" s="256"/>
      <c r="U16" s="256"/>
      <c r="V16" s="256"/>
      <c r="W16" s="189"/>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row>
    <row r="17" spans="1:58" s="183" customFormat="1" ht="19.5" customHeight="1">
      <c r="A17" s="204" t="s">
        <v>823</v>
      </c>
      <c r="B17" s="208" t="s">
        <v>822</v>
      </c>
      <c r="C17" s="256">
        <f t="shared" si="1"/>
        <v>8200</v>
      </c>
      <c r="D17" s="256">
        <f>4100+2000+2100</f>
        <v>8200</v>
      </c>
      <c r="E17" s="206"/>
      <c r="F17" s="206"/>
      <c r="G17" s="206"/>
      <c r="H17" s="256">
        <f t="shared" si="2"/>
        <v>0</v>
      </c>
      <c r="I17" s="256"/>
      <c r="J17" s="206"/>
      <c r="K17" s="206"/>
      <c r="L17" s="206"/>
      <c r="M17" s="256">
        <f t="shared" si="4"/>
        <v>8200</v>
      </c>
      <c r="N17" s="256">
        <f t="shared" si="3"/>
        <v>8200</v>
      </c>
      <c r="O17" s="256">
        <f t="shared" si="3"/>
        <v>0</v>
      </c>
      <c r="P17" s="256">
        <f t="shared" si="3"/>
        <v>0</v>
      </c>
      <c r="Q17" s="256">
        <f t="shared" si="3"/>
        <v>0</v>
      </c>
      <c r="R17" s="256">
        <f t="shared" si="0"/>
        <v>0</v>
      </c>
      <c r="S17" s="256"/>
      <c r="T17" s="256"/>
      <c r="U17" s="256"/>
      <c r="V17" s="256"/>
      <c r="W17" s="189"/>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row>
    <row r="18" spans="1:58" s="183" customFormat="1" ht="30">
      <c r="A18" s="204" t="s">
        <v>912</v>
      </c>
      <c r="B18" s="208" t="s">
        <v>824</v>
      </c>
      <c r="C18" s="256">
        <f t="shared" si="1"/>
        <v>4800</v>
      </c>
      <c r="D18" s="256">
        <f>1800+1000+2000</f>
        <v>4800</v>
      </c>
      <c r="E18" s="206"/>
      <c r="F18" s="206"/>
      <c r="G18" s="206"/>
      <c r="H18" s="256">
        <f t="shared" si="2"/>
        <v>0</v>
      </c>
      <c r="I18" s="256"/>
      <c r="J18" s="206"/>
      <c r="K18" s="206"/>
      <c r="L18" s="206"/>
      <c r="M18" s="256">
        <f t="shared" si="4"/>
        <v>4800</v>
      </c>
      <c r="N18" s="256">
        <f t="shared" si="3"/>
        <v>4800</v>
      </c>
      <c r="O18" s="256">
        <f t="shared" si="3"/>
        <v>0</v>
      </c>
      <c r="P18" s="256">
        <f t="shared" si="3"/>
        <v>0</v>
      </c>
      <c r="Q18" s="256">
        <f t="shared" si="3"/>
        <v>0</v>
      </c>
      <c r="R18" s="256">
        <f t="shared" si="0"/>
        <v>0</v>
      </c>
      <c r="S18" s="256"/>
      <c r="T18" s="256"/>
      <c r="U18" s="256"/>
      <c r="V18" s="256"/>
      <c r="W18" s="189"/>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row>
    <row r="19" spans="1:58" s="203" customFormat="1" ht="19.5" customHeight="1">
      <c r="A19" s="200">
        <v>2</v>
      </c>
      <c r="B19" s="201" t="s">
        <v>660</v>
      </c>
      <c r="C19" s="254">
        <f t="shared" si="1"/>
        <v>7600</v>
      </c>
      <c r="D19" s="254">
        <f>SUM(D20:D21)</f>
        <v>7600</v>
      </c>
      <c r="E19" s="254">
        <f>SUM(E20:E21)</f>
        <v>0</v>
      </c>
      <c r="F19" s="254">
        <f>SUM(F20:F21)</f>
        <v>0</v>
      </c>
      <c r="G19" s="254">
        <f>SUM(G20:G21)</f>
        <v>0</v>
      </c>
      <c r="H19" s="254">
        <f aca="true" t="shared" si="5" ref="H19:H42">SUM(I19:L19)</f>
        <v>4700</v>
      </c>
      <c r="I19" s="254">
        <f>SUM(I20:I21)</f>
        <v>4700</v>
      </c>
      <c r="J19" s="254">
        <f>SUM(J20:J21)</f>
        <v>0</v>
      </c>
      <c r="K19" s="254">
        <f>SUM(K20:K21)</f>
        <v>0</v>
      </c>
      <c r="L19" s="254">
        <f>SUM(L20:L21)</f>
        <v>0</v>
      </c>
      <c r="M19" s="254">
        <f t="shared" si="4"/>
        <v>7600</v>
      </c>
      <c r="N19" s="254">
        <f>SUM(N20:N21)</f>
        <v>7600</v>
      </c>
      <c r="O19" s="254">
        <f>SUM(O20:O21)</f>
        <v>0</v>
      </c>
      <c r="P19" s="254">
        <f>SUM(P20:P21)</f>
        <v>0</v>
      </c>
      <c r="Q19" s="254">
        <f>SUM(Q20:Q21)</f>
        <v>0</v>
      </c>
      <c r="R19" s="254">
        <f t="shared" si="0"/>
        <v>0</v>
      </c>
      <c r="S19" s="254">
        <f>SUM(S20:S21)</f>
        <v>0</v>
      </c>
      <c r="T19" s="254">
        <f>SUM(T20:T21)</f>
        <v>0</v>
      </c>
      <c r="U19" s="254">
        <f>SUM(U20:U21)</f>
        <v>0</v>
      </c>
      <c r="V19" s="254">
        <f>SUM(V20:V21)</f>
        <v>0</v>
      </c>
      <c r="W19" s="22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row>
    <row r="20" spans="1:58" s="183" customFormat="1" ht="15">
      <c r="A20" s="204" t="s">
        <v>910</v>
      </c>
      <c r="B20" s="208" t="s">
        <v>825</v>
      </c>
      <c r="C20" s="256">
        <f t="shared" si="1"/>
        <v>6600</v>
      </c>
      <c r="D20" s="256">
        <f>1700+900+4000</f>
        <v>6600</v>
      </c>
      <c r="E20" s="206"/>
      <c r="F20" s="206"/>
      <c r="G20" s="206"/>
      <c r="H20" s="256">
        <f t="shared" si="5"/>
        <v>3200</v>
      </c>
      <c r="I20" s="256">
        <v>3200</v>
      </c>
      <c r="J20" s="206"/>
      <c r="K20" s="206"/>
      <c r="L20" s="206"/>
      <c r="M20" s="256">
        <f t="shared" si="4"/>
        <v>6600</v>
      </c>
      <c r="N20" s="256">
        <f aca="true" t="shared" si="6" ref="N20:Q21">+D20</f>
        <v>6600</v>
      </c>
      <c r="O20" s="256">
        <f t="shared" si="6"/>
        <v>0</v>
      </c>
      <c r="P20" s="256">
        <f t="shared" si="6"/>
        <v>0</v>
      </c>
      <c r="Q20" s="256">
        <f t="shared" si="6"/>
        <v>0</v>
      </c>
      <c r="R20" s="256">
        <f t="shared" si="0"/>
        <v>0</v>
      </c>
      <c r="S20" s="256"/>
      <c r="T20" s="256"/>
      <c r="U20" s="256"/>
      <c r="V20" s="256"/>
      <c r="W20" s="189"/>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row>
    <row r="21" spans="1:58" s="183" customFormat="1" ht="45">
      <c r="A21" s="204" t="s">
        <v>911</v>
      </c>
      <c r="B21" s="208" t="s">
        <v>799</v>
      </c>
      <c r="C21" s="256">
        <f t="shared" si="1"/>
        <v>1000</v>
      </c>
      <c r="D21" s="256">
        <v>1000</v>
      </c>
      <c r="E21" s="206"/>
      <c r="F21" s="206"/>
      <c r="G21" s="206"/>
      <c r="H21" s="256">
        <f t="shared" si="5"/>
        <v>1500</v>
      </c>
      <c r="I21" s="256">
        <v>1500</v>
      </c>
      <c r="J21" s="206"/>
      <c r="K21" s="206"/>
      <c r="L21" s="206"/>
      <c r="M21" s="256">
        <f t="shared" si="4"/>
        <v>1000</v>
      </c>
      <c r="N21" s="256">
        <f t="shared" si="6"/>
        <v>1000</v>
      </c>
      <c r="O21" s="256">
        <f t="shared" si="6"/>
        <v>0</v>
      </c>
      <c r="P21" s="256">
        <f t="shared" si="6"/>
        <v>0</v>
      </c>
      <c r="Q21" s="256">
        <f t="shared" si="6"/>
        <v>0</v>
      </c>
      <c r="R21" s="256">
        <f t="shared" si="0"/>
        <v>0</v>
      </c>
      <c r="S21" s="256"/>
      <c r="T21" s="256"/>
      <c r="U21" s="256"/>
      <c r="V21" s="256"/>
      <c r="W21" s="189" t="s">
        <v>800</v>
      </c>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row>
    <row r="22" spans="1:58" s="203" customFormat="1" ht="19.5" customHeight="1">
      <c r="A22" s="200">
        <v>3</v>
      </c>
      <c r="B22" s="201" t="s">
        <v>905</v>
      </c>
      <c r="C22" s="254">
        <f t="shared" si="1"/>
        <v>40300</v>
      </c>
      <c r="D22" s="254">
        <f>SUM(D23:D25)</f>
        <v>300</v>
      </c>
      <c r="E22" s="254">
        <f>SUM(E23:E25)</f>
        <v>40000</v>
      </c>
      <c r="F22" s="254">
        <f>SUM(F23:F25)</f>
        <v>0</v>
      </c>
      <c r="G22" s="254">
        <f>SUM(G23:G25)</f>
        <v>0</v>
      </c>
      <c r="H22" s="254">
        <f t="shared" si="5"/>
        <v>47300</v>
      </c>
      <c r="I22" s="254">
        <f>SUM(I23:I25)</f>
        <v>300</v>
      </c>
      <c r="J22" s="254">
        <f>SUM(J23:J25)</f>
        <v>47000</v>
      </c>
      <c r="K22" s="254">
        <f>SUM(K23:K25)</f>
        <v>0</v>
      </c>
      <c r="L22" s="254">
        <f>SUM(L23:L25)</f>
        <v>0</v>
      </c>
      <c r="M22" s="254">
        <f t="shared" si="4"/>
        <v>40300</v>
      </c>
      <c r="N22" s="254">
        <f>SUM(N23:N25)</f>
        <v>300</v>
      </c>
      <c r="O22" s="254">
        <f>SUM(O23:O25)</f>
        <v>40000</v>
      </c>
      <c r="P22" s="254">
        <f>SUM(P23:P25)</f>
        <v>0</v>
      </c>
      <c r="Q22" s="254">
        <f>SUM(Q23:Q25)</f>
        <v>0</v>
      </c>
      <c r="R22" s="254">
        <f t="shared" si="0"/>
        <v>182000</v>
      </c>
      <c r="S22" s="254">
        <f>SUM(S23:S25)</f>
        <v>0</v>
      </c>
      <c r="T22" s="254">
        <f>SUM(T23:T25)</f>
        <v>182000</v>
      </c>
      <c r="U22" s="254">
        <f>SUM(U23:U25)</f>
        <v>0</v>
      </c>
      <c r="V22" s="254">
        <f>SUM(V23:V25)</f>
        <v>0</v>
      </c>
      <c r="W22" s="22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row>
    <row r="23" spans="1:58" s="183" customFormat="1" ht="30">
      <c r="A23" s="204" t="s">
        <v>907</v>
      </c>
      <c r="B23" s="208" t="s">
        <v>826</v>
      </c>
      <c r="C23" s="256">
        <f t="shared" si="1"/>
        <v>12100</v>
      </c>
      <c r="D23" s="256">
        <v>100</v>
      </c>
      <c r="E23" s="206">
        <v>12000</v>
      </c>
      <c r="F23" s="206"/>
      <c r="G23" s="206"/>
      <c r="H23" s="256">
        <f t="shared" si="5"/>
        <v>15100</v>
      </c>
      <c r="I23" s="256">
        <v>100</v>
      </c>
      <c r="J23" s="206">
        <v>15000</v>
      </c>
      <c r="K23" s="206"/>
      <c r="L23" s="206"/>
      <c r="M23" s="256">
        <f t="shared" si="4"/>
        <v>12100</v>
      </c>
      <c r="N23" s="256">
        <f aca="true" t="shared" si="7" ref="N23:Q25">+D23</f>
        <v>100</v>
      </c>
      <c r="O23" s="256">
        <f t="shared" si="7"/>
        <v>12000</v>
      </c>
      <c r="P23" s="256">
        <f t="shared" si="7"/>
        <v>0</v>
      </c>
      <c r="Q23" s="256">
        <f t="shared" si="7"/>
        <v>0</v>
      </c>
      <c r="R23" s="256">
        <f t="shared" si="0"/>
        <v>60000</v>
      </c>
      <c r="S23" s="256"/>
      <c r="T23" s="256">
        <v>60000</v>
      </c>
      <c r="U23" s="256"/>
      <c r="V23" s="256"/>
      <c r="W23" s="189"/>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row>
    <row r="24" spans="1:58" s="183" customFormat="1" ht="30">
      <c r="A24" s="204" t="s">
        <v>908</v>
      </c>
      <c r="B24" s="208" t="s">
        <v>827</v>
      </c>
      <c r="C24" s="256">
        <f t="shared" si="1"/>
        <v>10100</v>
      </c>
      <c r="D24" s="256">
        <v>100</v>
      </c>
      <c r="E24" s="206">
        <v>10000</v>
      </c>
      <c r="F24" s="206"/>
      <c r="G24" s="206"/>
      <c r="H24" s="256">
        <f t="shared" si="5"/>
        <v>12100</v>
      </c>
      <c r="I24" s="256">
        <v>100</v>
      </c>
      <c r="J24" s="206">
        <v>12000</v>
      </c>
      <c r="K24" s="206"/>
      <c r="L24" s="206"/>
      <c r="M24" s="256">
        <f t="shared" si="4"/>
        <v>10100</v>
      </c>
      <c r="N24" s="256">
        <f t="shared" si="7"/>
        <v>100</v>
      </c>
      <c r="O24" s="256">
        <f t="shared" si="7"/>
        <v>10000</v>
      </c>
      <c r="P24" s="256">
        <f t="shared" si="7"/>
        <v>0</v>
      </c>
      <c r="Q24" s="256">
        <f t="shared" si="7"/>
        <v>0</v>
      </c>
      <c r="R24" s="256">
        <f t="shared" si="0"/>
        <v>22000</v>
      </c>
      <c r="S24" s="256"/>
      <c r="T24" s="256">
        <v>22000</v>
      </c>
      <c r="U24" s="256"/>
      <c r="V24" s="256"/>
      <c r="W24" s="189"/>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row>
    <row r="25" spans="1:58" s="183" customFormat="1" ht="30">
      <c r="A25" s="204" t="s">
        <v>909</v>
      </c>
      <c r="B25" s="208" t="s">
        <v>828</v>
      </c>
      <c r="C25" s="256">
        <f t="shared" si="1"/>
        <v>18100</v>
      </c>
      <c r="D25" s="256">
        <v>100</v>
      </c>
      <c r="E25" s="206">
        <v>18000</v>
      </c>
      <c r="F25" s="206"/>
      <c r="G25" s="206"/>
      <c r="H25" s="256">
        <f t="shared" si="5"/>
        <v>20100</v>
      </c>
      <c r="I25" s="256">
        <v>100</v>
      </c>
      <c r="J25" s="206">
        <v>20000</v>
      </c>
      <c r="K25" s="206"/>
      <c r="L25" s="206"/>
      <c r="M25" s="256">
        <f t="shared" si="4"/>
        <v>18100</v>
      </c>
      <c r="N25" s="256">
        <f t="shared" si="7"/>
        <v>100</v>
      </c>
      <c r="O25" s="256">
        <f t="shared" si="7"/>
        <v>18000</v>
      </c>
      <c r="P25" s="256">
        <f t="shared" si="7"/>
        <v>0</v>
      </c>
      <c r="Q25" s="256">
        <f t="shared" si="7"/>
        <v>0</v>
      </c>
      <c r="R25" s="256">
        <f t="shared" si="0"/>
        <v>100000</v>
      </c>
      <c r="S25" s="256"/>
      <c r="T25" s="256">
        <v>100000</v>
      </c>
      <c r="U25" s="256"/>
      <c r="V25" s="256"/>
      <c r="W25" s="189"/>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row>
    <row r="26" spans="1:58" s="203" customFormat="1" ht="19.5" customHeight="1">
      <c r="A26" s="200">
        <v>4</v>
      </c>
      <c r="B26" s="201" t="s">
        <v>906</v>
      </c>
      <c r="C26" s="254">
        <f>SUM(D26:G26)</f>
        <v>1400</v>
      </c>
      <c r="D26" s="254">
        <f>SUM(D27:D31)</f>
        <v>0</v>
      </c>
      <c r="E26" s="254">
        <f>SUM(E27:E31)</f>
        <v>1400</v>
      </c>
      <c r="F26" s="254">
        <f>SUM(F27:F31)</f>
        <v>0</v>
      </c>
      <c r="G26" s="254">
        <f>SUM(G27:G31)</f>
        <v>0</v>
      </c>
      <c r="H26" s="254" t="e">
        <f aca="true" t="shared" si="8" ref="H26:H34">SUM(I26:L26)</f>
        <v>#REF!</v>
      </c>
      <c r="I26" s="254" t="e">
        <f>SUM(I27:I31)</f>
        <v>#REF!</v>
      </c>
      <c r="J26" s="254" t="e">
        <f>SUM(J27:J31)</f>
        <v>#REF!</v>
      </c>
      <c r="K26" s="254">
        <f>SUM(K27:K31)</f>
        <v>0</v>
      </c>
      <c r="L26" s="254">
        <f>SUM(L27:L31)</f>
        <v>0</v>
      </c>
      <c r="M26" s="254">
        <f aca="true" t="shared" si="9" ref="M26:M34">SUM(N26:Q26)</f>
        <v>1400</v>
      </c>
      <c r="N26" s="254">
        <f>SUM(N27:N31)</f>
        <v>0</v>
      </c>
      <c r="O26" s="254">
        <f>SUM(O27:O31)</f>
        <v>1400</v>
      </c>
      <c r="P26" s="254">
        <f>SUM(P27:P31)</f>
        <v>0</v>
      </c>
      <c r="Q26" s="254">
        <f>SUM(Q27:Q31)</f>
        <v>0</v>
      </c>
      <c r="R26" s="254">
        <f>SUM(S26:V26)</f>
        <v>190000</v>
      </c>
      <c r="S26" s="254">
        <f>SUM(S27:S31)</f>
        <v>40000</v>
      </c>
      <c r="T26" s="254">
        <f>SUM(T27:T31)</f>
        <v>150000</v>
      </c>
      <c r="U26" s="254">
        <f>SUM(U27:U31)</f>
        <v>0</v>
      </c>
      <c r="V26" s="254">
        <f>SUM(V27:V31)</f>
        <v>0</v>
      </c>
      <c r="W26" s="22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row>
    <row r="27" spans="1:58" s="183" customFormat="1" ht="45">
      <c r="A27" s="204" t="s">
        <v>913</v>
      </c>
      <c r="B27" s="208" t="s">
        <v>775</v>
      </c>
      <c r="C27" s="256">
        <f t="shared" si="1"/>
        <v>300</v>
      </c>
      <c r="D27" s="256"/>
      <c r="E27" s="206">
        <v>300</v>
      </c>
      <c r="F27" s="206"/>
      <c r="G27" s="206"/>
      <c r="H27" s="256" t="e">
        <f t="shared" si="8"/>
        <v>#REF!</v>
      </c>
      <c r="I27" s="256"/>
      <c r="J27" s="206" t="e">
        <f>+'Bieu 3 (cu)'!R123</f>
        <v>#REF!</v>
      </c>
      <c r="K27" s="206"/>
      <c r="L27" s="206"/>
      <c r="M27" s="256">
        <f t="shared" si="9"/>
        <v>300</v>
      </c>
      <c r="N27" s="256">
        <f aca="true" t="shared" si="10" ref="N27:Q31">+D27</f>
        <v>0</v>
      </c>
      <c r="O27" s="256">
        <f t="shared" si="10"/>
        <v>300</v>
      </c>
      <c r="P27" s="256">
        <f t="shared" si="10"/>
        <v>0</v>
      </c>
      <c r="Q27" s="256">
        <f t="shared" si="10"/>
        <v>0</v>
      </c>
      <c r="R27" s="256">
        <f aca="true" t="shared" si="11" ref="R27:R34">SUM(S27:V27)</f>
        <v>30000</v>
      </c>
      <c r="S27" s="256"/>
      <c r="T27" s="256">
        <v>30000</v>
      </c>
      <c r="U27" s="256"/>
      <c r="V27" s="256"/>
      <c r="W27" s="189"/>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row>
    <row r="28" spans="1:58" s="183" customFormat="1" ht="60">
      <c r="A28" s="204" t="s">
        <v>914</v>
      </c>
      <c r="B28" s="208" t="s">
        <v>776</v>
      </c>
      <c r="C28" s="256">
        <f t="shared" si="1"/>
        <v>800</v>
      </c>
      <c r="D28" s="256"/>
      <c r="E28" s="206">
        <v>800</v>
      </c>
      <c r="F28" s="206"/>
      <c r="G28" s="206"/>
      <c r="H28" s="256">
        <f t="shared" si="8"/>
        <v>0</v>
      </c>
      <c r="I28" s="256"/>
      <c r="J28" s="206">
        <f>+'Bieu 3 (cu)'!R126</f>
        <v>0</v>
      </c>
      <c r="K28" s="206"/>
      <c r="L28" s="206"/>
      <c r="M28" s="256">
        <f t="shared" si="9"/>
        <v>800</v>
      </c>
      <c r="N28" s="256">
        <f t="shared" si="10"/>
        <v>0</v>
      </c>
      <c r="O28" s="256">
        <f t="shared" si="10"/>
        <v>800</v>
      </c>
      <c r="P28" s="256">
        <f t="shared" si="10"/>
        <v>0</v>
      </c>
      <c r="Q28" s="256">
        <f t="shared" si="10"/>
        <v>0</v>
      </c>
      <c r="R28" s="256">
        <f t="shared" si="11"/>
        <v>70000</v>
      </c>
      <c r="S28" s="256"/>
      <c r="T28" s="256">
        <v>70000</v>
      </c>
      <c r="U28" s="256"/>
      <c r="V28" s="256"/>
      <c r="W28" s="189"/>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row>
    <row r="29" spans="1:58" s="183" customFormat="1" ht="75">
      <c r="A29" s="204" t="s">
        <v>915</v>
      </c>
      <c r="B29" s="208" t="s">
        <v>777</v>
      </c>
      <c r="C29" s="256">
        <f t="shared" si="1"/>
        <v>300</v>
      </c>
      <c r="D29" s="256"/>
      <c r="E29" s="206">
        <v>300</v>
      </c>
      <c r="F29" s="206"/>
      <c r="G29" s="206"/>
      <c r="H29" s="256">
        <f t="shared" si="8"/>
        <v>650</v>
      </c>
      <c r="I29" s="256"/>
      <c r="J29" s="206">
        <v>650</v>
      </c>
      <c r="K29" s="206"/>
      <c r="L29" s="206"/>
      <c r="M29" s="256">
        <f t="shared" si="9"/>
        <v>300</v>
      </c>
      <c r="N29" s="256">
        <f t="shared" si="10"/>
        <v>0</v>
      </c>
      <c r="O29" s="256">
        <f t="shared" si="10"/>
        <v>300</v>
      </c>
      <c r="P29" s="256">
        <f t="shared" si="10"/>
        <v>0</v>
      </c>
      <c r="Q29" s="256">
        <f t="shared" si="10"/>
        <v>0</v>
      </c>
      <c r="R29" s="256">
        <f t="shared" si="11"/>
        <v>50000</v>
      </c>
      <c r="S29" s="256"/>
      <c r="T29" s="256">
        <v>50000</v>
      </c>
      <c r="U29" s="256"/>
      <c r="V29" s="256"/>
      <c r="W29" s="189"/>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row>
    <row r="30" spans="1:58" s="183" customFormat="1" ht="75">
      <c r="A30" s="204" t="s">
        <v>916</v>
      </c>
      <c r="B30" s="208" t="s">
        <v>790</v>
      </c>
      <c r="C30" s="256">
        <f t="shared" si="1"/>
        <v>0</v>
      </c>
      <c r="D30" s="256"/>
      <c r="E30" s="206"/>
      <c r="F30" s="206"/>
      <c r="G30" s="206"/>
      <c r="H30" s="256" t="e">
        <f t="shared" si="8"/>
        <v>#REF!</v>
      </c>
      <c r="I30" s="256" t="e">
        <f>+'Bieu 3 (cu)'!#REF!</f>
        <v>#REF!</v>
      </c>
      <c r="J30" s="206"/>
      <c r="K30" s="206"/>
      <c r="L30" s="206"/>
      <c r="M30" s="256">
        <f t="shared" si="9"/>
        <v>0</v>
      </c>
      <c r="N30" s="256">
        <f t="shared" si="10"/>
        <v>0</v>
      </c>
      <c r="O30" s="256">
        <f t="shared" si="10"/>
        <v>0</v>
      </c>
      <c r="P30" s="256">
        <f t="shared" si="10"/>
        <v>0</v>
      </c>
      <c r="Q30" s="256">
        <f t="shared" si="10"/>
        <v>0</v>
      </c>
      <c r="R30" s="256">
        <f t="shared" si="11"/>
        <v>30000</v>
      </c>
      <c r="S30" s="256">
        <v>30000</v>
      </c>
      <c r="T30" s="256"/>
      <c r="U30" s="256"/>
      <c r="V30" s="256"/>
      <c r="W30" s="189"/>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row>
    <row r="31" spans="1:58" s="183" customFormat="1" ht="30">
      <c r="A31" s="204" t="s">
        <v>932</v>
      </c>
      <c r="B31" s="208" t="s">
        <v>813</v>
      </c>
      <c r="C31" s="256">
        <f>SUM(D31:G31)</f>
        <v>0</v>
      </c>
      <c r="D31" s="256"/>
      <c r="E31" s="206"/>
      <c r="F31" s="206"/>
      <c r="G31" s="206"/>
      <c r="H31" s="256">
        <f>SUM(I31:L31)</f>
        <v>0</v>
      </c>
      <c r="I31" s="256"/>
      <c r="J31" s="206"/>
      <c r="K31" s="206"/>
      <c r="L31" s="206"/>
      <c r="M31" s="256">
        <f t="shared" si="9"/>
        <v>0</v>
      </c>
      <c r="N31" s="256">
        <f t="shared" si="10"/>
        <v>0</v>
      </c>
      <c r="O31" s="256">
        <f t="shared" si="10"/>
        <v>0</v>
      </c>
      <c r="P31" s="256">
        <f t="shared" si="10"/>
        <v>0</v>
      </c>
      <c r="Q31" s="256">
        <f t="shared" si="10"/>
        <v>0</v>
      </c>
      <c r="R31" s="256">
        <f t="shared" si="11"/>
        <v>10000</v>
      </c>
      <c r="S31" s="256">
        <v>10000</v>
      </c>
      <c r="T31" s="256"/>
      <c r="U31" s="256"/>
      <c r="V31" s="256"/>
      <c r="W31" s="189"/>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row>
    <row r="32" spans="1:58" s="203" customFormat="1" ht="19.5" customHeight="1">
      <c r="A32" s="200">
        <v>5</v>
      </c>
      <c r="B32" s="201" t="s">
        <v>919</v>
      </c>
      <c r="C32" s="254">
        <f>SUM(D32:G32)</f>
        <v>0</v>
      </c>
      <c r="D32" s="254">
        <f>SUM(D33:D34)</f>
        <v>0</v>
      </c>
      <c r="E32" s="254">
        <f>SUM(E33:E34)</f>
        <v>0</v>
      </c>
      <c r="F32" s="254">
        <f>SUM(F33:F34)</f>
        <v>0</v>
      </c>
      <c r="G32" s="254">
        <f>SUM(G33:G34)</f>
        <v>0</v>
      </c>
      <c r="H32" s="254">
        <f t="shared" si="8"/>
        <v>0</v>
      </c>
      <c r="I32" s="254">
        <f>SUM(I33:I34)</f>
        <v>0</v>
      </c>
      <c r="J32" s="254">
        <f>SUM(J33:J34)</f>
        <v>0</v>
      </c>
      <c r="K32" s="254">
        <f>SUM(K33:K34)</f>
        <v>0</v>
      </c>
      <c r="L32" s="254">
        <f>SUM(L33:L34)</f>
        <v>0</v>
      </c>
      <c r="M32" s="254">
        <f t="shared" si="9"/>
        <v>0</v>
      </c>
      <c r="N32" s="254">
        <f>SUM(N33:N34)</f>
        <v>0</v>
      </c>
      <c r="O32" s="254">
        <f>SUM(O33:O34)</f>
        <v>0</v>
      </c>
      <c r="P32" s="254">
        <f>SUM(P33:P34)</f>
        <v>0</v>
      </c>
      <c r="Q32" s="254">
        <f>SUM(Q33:Q34)</f>
        <v>0</v>
      </c>
      <c r="R32" s="254">
        <f>SUM(S32:V32)</f>
        <v>4000</v>
      </c>
      <c r="S32" s="254">
        <f>SUM(S33:S34)</f>
        <v>4000</v>
      </c>
      <c r="T32" s="254">
        <f>SUM(T33:T34)</f>
        <v>0</v>
      </c>
      <c r="U32" s="254">
        <f>SUM(U33:U34)</f>
        <v>0</v>
      </c>
      <c r="V32" s="254">
        <f>SUM(V33:V34)</f>
        <v>0</v>
      </c>
      <c r="W32" s="22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row>
    <row r="33" spans="1:58" s="183" customFormat="1" ht="30">
      <c r="A33" s="204" t="s">
        <v>917</v>
      </c>
      <c r="B33" s="208" t="s">
        <v>793</v>
      </c>
      <c r="C33" s="256">
        <f>SUM(D33:G33)</f>
        <v>0</v>
      </c>
      <c r="D33" s="256"/>
      <c r="E33" s="225"/>
      <c r="F33" s="206"/>
      <c r="G33" s="206"/>
      <c r="H33" s="256">
        <f t="shared" si="8"/>
        <v>0</v>
      </c>
      <c r="I33" s="256"/>
      <c r="J33" s="206"/>
      <c r="K33" s="206"/>
      <c r="L33" s="206"/>
      <c r="M33" s="256">
        <f t="shared" si="9"/>
        <v>0</v>
      </c>
      <c r="N33" s="256">
        <f>+D33</f>
        <v>0</v>
      </c>
      <c r="O33" s="256">
        <f>+E33</f>
        <v>0</v>
      </c>
      <c r="P33" s="256">
        <f>+F33</f>
        <v>0</v>
      </c>
      <c r="Q33" s="256">
        <f>+G33</f>
        <v>0</v>
      </c>
      <c r="R33" s="256">
        <f t="shared" si="11"/>
        <v>2000</v>
      </c>
      <c r="S33" s="256">
        <v>2000</v>
      </c>
      <c r="T33" s="256"/>
      <c r="U33" s="256"/>
      <c r="V33" s="256"/>
      <c r="W33" s="189"/>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row>
    <row r="34" spans="1:58" s="183" customFormat="1" ht="45">
      <c r="A34" s="204" t="s">
        <v>918</v>
      </c>
      <c r="B34" s="208" t="s">
        <v>895</v>
      </c>
      <c r="C34" s="256">
        <f>SUM(D34:G34)</f>
        <v>0</v>
      </c>
      <c r="D34" s="256"/>
      <c r="E34" s="225"/>
      <c r="F34" s="206"/>
      <c r="G34" s="206"/>
      <c r="H34" s="256">
        <f t="shared" si="8"/>
        <v>0</v>
      </c>
      <c r="I34" s="256"/>
      <c r="J34" s="206"/>
      <c r="K34" s="206"/>
      <c r="L34" s="206"/>
      <c r="M34" s="256">
        <f t="shared" si="9"/>
        <v>0</v>
      </c>
      <c r="N34" s="256"/>
      <c r="O34" s="256">
        <f>+E34</f>
        <v>0</v>
      </c>
      <c r="P34" s="256"/>
      <c r="Q34" s="256"/>
      <c r="R34" s="256">
        <f t="shared" si="11"/>
        <v>2000</v>
      </c>
      <c r="S34" s="256">
        <v>2000</v>
      </c>
      <c r="T34" s="256"/>
      <c r="U34" s="256"/>
      <c r="V34" s="256"/>
      <c r="W34" s="189"/>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row>
    <row r="35" spans="1:58" s="199" customFormat="1" ht="19.5" customHeight="1">
      <c r="A35" s="196" t="s">
        <v>484</v>
      </c>
      <c r="B35" s="197" t="s">
        <v>829</v>
      </c>
      <c r="C35" s="253">
        <f t="shared" si="1"/>
        <v>2312</v>
      </c>
      <c r="D35" s="253">
        <f>SUM(D36:D36)</f>
        <v>2312</v>
      </c>
      <c r="E35" s="253">
        <f>SUM(E36:E36)</f>
        <v>0</v>
      </c>
      <c r="F35" s="253">
        <f>SUM(F36:F36)</f>
        <v>0</v>
      </c>
      <c r="G35" s="253">
        <f>SUM(G36:G36)</f>
        <v>0</v>
      </c>
      <c r="H35" s="253">
        <f t="shared" si="5"/>
        <v>3000</v>
      </c>
      <c r="I35" s="253">
        <f>SUM(I36:I36)</f>
        <v>3000</v>
      </c>
      <c r="J35" s="253">
        <f>SUM(J36:J36)</f>
        <v>0</v>
      </c>
      <c r="K35" s="253">
        <f>SUM(K36:K36)</f>
        <v>0</v>
      </c>
      <c r="L35" s="253">
        <f>SUM(L36:L36)</f>
        <v>0</v>
      </c>
      <c r="M35" s="253">
        <f t="shared" si="4"/>
        <v>2312</v>
      </c>
      <c r="N35" s="253">
        <f>+D35</f>
        <v>2312</v>
      </c>
      <c r="O35" s="253">
        <f>+E35</f>
        <v>0</v>
      </c>
      <c r="P35" s="253">
        <f>+F35</f>
        <v>0</v>
      </c>
      <c r="Q35" s="253">
        <f>+G35</f>
        <v>0</v>
      </c>
      <c r="R35" s="253">
        <f t="shared" si="0"/>
        <v>538</v>
      </c>
      <c r="S35" s="253">
        <f>SUM(S36:S36)</f>
        <v>538</v>
      </c>
      <c r="T35" s="253">
        <f>SUM(T36:T36)</f>
        <v>0</v>
      </c>
      <c r="U35" s="253">
        <f>SUM(U36:U36)</f>
        <v>0</v>
      </c>
      <c r="V35" s="253">
        <f>SUM(V36:V36)</f>
        <v>0</v>
      </c>
      <c r="W35" s="221"/>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row>
    <row r="36" spans="1:58" s="183" customFormat="1" ht="45">
      <c r="A36" s="204">
        <v>1</v>
      </c>
      <c r="B36" s="208" t="s">
        <v>830</v>
      </c>
      <c r="C36" s="256">
        <f t="shared" si="1"/>
        <v>2312</v>
      </c>
      <c r="D36" s="256">
        <f>812+500+1000</f>
        <v>2312</v>
      </c>
      <c r="E36" s="206"/>
      <c r="F36" s="206"/>
      <c r="G36" s="206"/>
      <c r="H36" s="256">
        <f t="shared" si="5"/>
        <v>3000</v>
      </c>
      <c r="I36" s="256">
        <v>3000</v>
      </c>
      <c r="J36" s="206"/>
      <c r="K36" s="206"/>
      <c r="L36" s="206"/>
      <c r="M36" s="256">
        <f t="shared" si="4"/>
        <v>2312</v>
      </c>
      <c r="N36" s="256">
        <f>+D36</f>
        <v>2312</v>
      </c>
      <c r="O36" s="256">
        <f>+E36</f>
        <v>0</v>
      </c>
      <c r="P36" s="256">
        <f>+F36</f>
        <v>0</v>
      </c>
      <c r="Q36" s="256">
        <f>+G36</f>
        <v>0</v>
      </c>
      <c r="R36" s="256">
        <f t="shared" si="0"/>
        <v>538</v>
      </c>
      <c r="S36" s="256">
        <v>538</v>
      </c>
      <c r="T36" s="256"/>
      <c r="U36" s="256"/>
      <c r="V36" s="256"/>
      <c r="W36" s="189"/>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row>
    <row r="37" spans="1:58" s="199" customFormat="1" ht="37.5" customHeight="1">
      <c r="A37" s="196" t="s">
        <v>496</v>
      </c>
      <c r="B37" s="197" t="s">
        <v>831</v>
      </c>
      <c r="C37" s="253">
        <f>SUM(D37:G37)</f>
        <v>6600</v>
      </c>
      <c r="D37" s="253">
        <f>SUM(D38:D39)</f>
        <v>1600</v>
      </c>
      <c r="E37" s="253">
        <f>SUM(E38:E39)</f>
        <v>5000</v>
      </c>
      <c r="F37" s="253">
        <f>SUM(F38:F39)</f>
        <v>0</v>
      </c>
      <c r="G37" s="253">
        <f>SUM(G38:G39)</f>
        <v>0</v>
      </c>
      <c r="H37" s="253">
        <f t="shared" si="5"/>
        <v>7200</v>
      </c>
      <c r="I37" s="253">
        <f>SUM(I38:I39)</f>
        <v>1700</v>
      </c>
      <c r="J37" s="253">
        <f>SUM(J38:J39)</f>
        <v>5500</v>
      </c>
      <c r="K37" s="253">
        <f>SUM(K38:K39)</f>
        <v>0</v>
      </c>
      <c r="L37" s="253">
        <f>SUM(L38:L39)</f>
        <v>0</v>
      </c>
      <c r="M37" s="253">
        <f t="shared" si="4"/>
        <v>6600</v>
      </c>
      <c r="N37" s="253">
        <f>SUM(N38:N39)</f>
        <v>1600</v>
      </c>
      <c r="O37" s="253">
        <f>SUM(O38:O39)</f>
        <v>5000</v>
      </c>
      <c r="P37" s="253">
        <f>SUM(P38:P39)</f>
        <v>0</v>
      </c>
      <c r="Q37" s="253">
        <f>SUM(Q38:Q39)</f>
        <v>0</v>
      </c>
      <c r="R37" s="253">
        <f t="shared" si="0"/>
        <v>10000</v>
      </c>
      <c r="S37" s="253">
        <f>SUM(S38:S39)</f>
        <v>2000</v>
      </c>
      <c r="T37" s="253">
        <f>SUM(T38:T39)</f>
        <v>8000</v>
      </c>
      <c r="U37" s="253">
        <f>SUM(U38:U39)</f>
        <v>0</v>
      </c>
      <c r="V37" s="253">
        <f>SUM(V38:V39)</f>
        <v>0</v>
      </c>
      <c r="W37" s="221"/>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row>
    <row r="38" spans="1:58" s="183" customFormat="1" ht="150">
      <c r="A38" s="204">
        <v>1</v>
      </c>
      <c r="B38" s="208" t="s">
        <v>904</v>
      </c>
      <c r="C38" s="256">
        <f t="shared" si="1"/>
        <v>1600</v>
      </c>
      <c r="D38" s="256">
        <f>1500+100</f>
        <v>1600</v>
      </c>
      <c r="E38" s="206"/>
      <c r="F38" s="206"/>
      <c r="G38" s="206"/>
      <c r="H38" s="256">
        <f>SUM(I38:L38)</f>
        <v>1700</v>
      </c>
      <c r="I38" s="256">
        <v>1700</v>
      </c>
      <c r="J38" s="206"/>
      <c r="K38" s="206"/>
      <c r="L38" s="206"/>
      <c r="M38" s="256">
        <f>SUM(N38:Q38)</f>
        <v>1600</v>
      </c>
      <c r="N38" s="256">
        <f aca="true" t="shared" si="12" ref="N38:Q39">+D38</f>
        <v>1600</v>
      </c>
      <c r="O38" s="256">
        <f t="shared" si="12"/>
        <v>0</v>
      </c>
      <c r="P38" s="256">
        <f t="shared" si="12"/>
        <v>0</v>
      </c>
      <c r="Q38" s="256">
        <f t="shared" si="12"/>
        <v>0</v>
      </c>
      <c r="R38" s="256">
        <f t="shared" si="0"/>
        <v>0</v>
      </c>
      <c r="S38" s="256"/>
      <c r="T38" s="256"/>
      <c r="U38" s="256"/>
      <c r="V38" s="256"/>
      <c r="W38" s="189"/>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row>
    <row r="39" spans="1:58" s="183" customFormat="1" ht="75">
      <c r="A39" s="204">
        <v>2</v>
      </c>
      <c r="B39" s="208" t="s">
        <v>933</v>
      </c>
      <c r="C39" s="256">
        <f t="shared" si="1"/>
        <v>5000</v>
      </c>
      <c r="D39" s="256"/>
      <c r="E39" s="206">
        <v>5000</v>
      </c>
      <c r="F39" s="206"/>
      <c r="G39" s="206"/>
      <c r="H39" s="256">
        <f>SUM(I39:L39)</f>
        <v>5500</v>
      </c>
      <c r="I39" s="256"/>
      <c r="J39" s="206">
        <v>5500</v>
      </c>
      <c r="K39" s="206"/>
      <c r="L39" s="206"/>
      <c r="M39" s="256">
        <f>SUM(N39:Q39)</f>
        <v>5000</v>
      </c>
      <c r="N39" s="256">
        <f t="shared" si="12"/>
        <v>0</v>
      </c>
      <c r="O39" s="256">
        <f t="shared" si="12"/>
        <v>5000</v>
      </c>
      <c r="P39" s="256">
        <f t="shared" si="12"/>
        <v>0</v>
      </c>
      <c r="Q39" s="256">
        <f t="shared" si="12"/>
        <v>0</v>
      </c>
      <c r="R39" s="256">
        <f t="shared" si="0"/>
        <v>10000</v>
      </c>
      <c r="S39" s="256">
        <v>2000</v>
      </c>
      <c r="T39" s="256">
        <v>8000</v>
      </c>
      <c r="U39" s="256"/>
      <c r="V39" s="256"/>
      <c r="W39" s="189"/>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row>
    <row r="40" spans="1:58" s="195" customFormat="1" ht="21" customHeight="1">
      <c r="A40" s="192" t="s">
        <v>608</v>
      </c>
      <c r="B40" s="193" t="s">
        <v>832</v>
      </c>
      <c r="C40" s="252">
        <f t="shared" si="1"/>
        <v>3400</v>
      </c>
      <c r="D40" s="252">
        <f>+D41+D43</f>
        <v>1300</v>
      </c>
      <c r="E40" s="252">
        <f>+E41+E43</f>
        <v>1000</v>
      </c>
      <c r="F40" s="252">
        <f>+F41+F43</f>
        <v>0</v>
      </c>
      <c r="G40" s="252">
        <f>+G41+G43</f>
        <v>1100</v>
      </c>
      <c r="H40" s="252">
        <f t="shared" si="5"/>
        <v>2300</v>
      </c>
      <c r="I40" s="252">
        <f>+I41+I43</f>
        <v>1300</v>
      </c>
      <c r="J40" s="252">
        <f>+J41+J43</f>
        <v>1000</v>
      </c>
      <c r="K40" s="252">
        <f>+K41+K43</f>
        <v>0</v>
      </c>
      <c r="L40" s="252">
        <f>+L41+L43</f>
        <v>0</v>
      </c>
      <c r="M40" s="252">
        <f t="shared" si="4"/>
        <v>3400</v>
      </c>
      <c r="N40" s="252">
        <f>+N41+N43</f>
        <v>1300</v>
      </c>
      <c r="O40" s="252">
        <f>+O41+O43</f>
        <v>1000</v>
      </c>
      <c r="P40" s="252">
        <f>+P41+P43</f>
        <v>0</v>
      </c>
      <c r="Q40" s="252">
        <f>+Q41+Q43</f>
        <v>1100</v>
      </c>
      <c r="R40" s="252">
        <f t="shared" si="0"/>
        <v>4429</v>
      </c>
      <c r="S40" s="252">
        <f>+S41+S43</f>
        <v>0</v>
      </c>
      <c r="T40" s="252">
        <f>+T41+T43</f>
        <v>1000</v>
      </c>
      <c r="U40" s="252">
        <f>+U41+U43</f>
        <v>0</v>
      </c>
      <c r="V40" s="252">
        <f>+V41+V43</f>
        <v>3429</v>
      </c>
      <c r="W40" s="220"/>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row>
    <row r="41" spans="1:58" s="199" customFormat="1" ht="37.5" customHeight="1">
      <c r="A41" s="196" t="s">
        <v>486</v>
      </c>
      <c r="B41" s="197" t="s">
        <v>833</v>
      </c>
      <c r="C41" s="253">
        <f>SUM(D41:G41)</f>
        <v>2300</v>
      </c>
      <c r="D41" s="253">
        <f>SUM(D42:D42)</f>
        <v>1300</v>
      </c>
      <c r="E41" s="253">
        <f>SUM(E42:E42)</f>
        <v>1000</v>
      </c>
      <c r="F41" s="253">
        <f>SUM(F42:F42)</f>
        <v>0</v>
      </c>
      <c r="G41" s="253">
        <f>SUM(G42:G42)</f>
        <v>0</v>
      </c>
      <c r="H41" s="253">
        <f t="shared" si="5"/>
        <v>2300</v>
      </c>
      <c r="I41" s="253">
        <f>SUM(I42:I42)</f>
        <v>1300</v>
      </c>
      <c r="J41" s="253">
        <f>SUM(J42:J42)</f>
        <v>1000</v>
      </c>
      <c r="K41" s="253">
        <f>SUM(K42:K42)</f>
        <v>0</v>
      </c>
      <c r="L41" s="253">
        <f>SUM(L42:L42)</f>
        <v>0</v>
      </c>
      <c r="M41" s="253">
        <f t="shared" si="4"/>
        <v>2300</v>
      </c>
      <c r="N41" s="253">
        <f>SUM(N42:N42)</f>
        <v>1300</v>
      </c>
      <c r="O41" s="253">
        <f>SUM(O42:O42)</f>
        <v>1000</v>
      </c>
      <c r="P41" s="253">
        <f>SUM(P42:P42)</f>
        <v>0</v>
      </c>
      <c r="Q41" s="253">
        <f>SUM(Q42:Q42)</f>
        <v>0</v>
      </c>
      <c r="R41" s="253">
        <f t="shared" si="0"/>
        <v>1000</v>
      </c>
      <c r="S41" s="253">
        <f>SUM(S42:S42)</f>
        <v>0</v>
      </c>
      <c r="T41" s="253">
        <f>SUM(T42:T42)</f>
        <v>1000</v>
      </c>
      <c r="U41" s="253">
        <f>SUM(U42:U42)</f>
        <v>0</v>
      </c>
      <c r="V41" s="253">
        <f>SUM(V42:V42)</f>
        <v>0</v>
      </c>
      <c r="W41" s="221"/>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row>
    <row r="42" spans="1:58" s="188" customFormat="1" ht="37.5" customHeight="1">
      <c r="A42" s="204"/>
      <c r="B42" s="208" t="s">
        <v>811</v>
      </c>
      <c r="C42" s="253">
        <f>SUM(D42:G42)</f>
        <v>2300</v>
      </c>
      <c r="D42" s="256">
        <v>1300</v>
      </c>
      <c r="E42" s="206">
        <v>1000</v>
      </c>
      <c r="F42" s="206"/>
      <c r="G42" s="206"/>
      <c r="H42" s="253">
        <f t="shared" si="5"/>
        <v>2300</v>
      </c>
      <c r="I42" s="256">
        <v>1300</v>
      </c>
      <c r="J42" s="206">
        <v>1000</v>
      </c>
      <c r="K42" s="206"/>
      <c r="L42" s="206"/>
      <c r="M42" s="256"/>
      <c r="N42" s="256">
        <f>+D42</f>
        <v>1300</v>
      </c>
      <c r="O42" s="256">
        <f>+E42</f>
        <v>1000</v>
      </c>
      <c r="P42" s="256">
        <f>+F42</f>
        <v>0</v>
      </c>
      <c r="Q42" s="256">
        <f>+G42</f>
        <v>0</v>
      </c>
      <c r="R42" s="256">
        <f t="shared" si="0"/>
        <v>1000</v>
      </c>
      <c r="S42" s="256"/>
      <c r="T42" s="256">
        <v>1000</v>
      </c>
      <c r="U42" s="256"/>
      <c r="V42" s="256"/>
      <c r="W42" s="189"/>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row>
    <row r="43" spans="1:58" s="199" customFormat="1" ht="45">
      <c r="A43" s="196" t="s">
        <v>486</v>
      </c>
      <c r="B43" s="197" t="s">
        <v>834</v>
      </c>
      <c r="C43" s="253">
        <f aca="true" t="shared" si="13" ref="C43:C49">SUM(D43:G43)</f>
        <v>1100</v>
      </c>
      <c r="D43" s="253">
        <f>SUM(D44:D44)</f>
        <v>0</v>
      </c>
      <c r="E43" s="253">
        <f>SUM(E44:E44)</f>
        <v>0</v>
      </c>
      <c r="F43" s="253">
        <f>SUM(F44:F44)</f>
        <v>0</v>
      </c>
      <c r="G43" s="253">
        <f>SUM(G44:G44)</f>
        <v>1100</v>
      </c>
      <c r="H43" s="253">
        <f aca="true" t="shared" si="14" ref="H43:H50">SUM(I43:L43)</f>
        <v>0</v>
      </c>
      <c r="I43" s="253">
        <f>SUM(I44:I44)</f>
        <v>0</v>
      </c>
      <c r="J43" s="253">
        <f>SUM(J44:J44)</f>
        <v>0</v>
      </c>
      <c r="K43" s="253">
        <f>SUM(K44:K44)</f>
        <v>0</v>
      </c>
      <c r="L43" s="253">
        <f>SUM(L44:L44)</f>
        <v>0</v>
      </c>
      <c r="M43" s="253">
        <f aca="true" t="shared" si="15" ref="M43:M50">SUM(N43:Q43)</f>
        <v>1100</v>
      </c>
      <c r="N43" s="256">
        <f aca="true" t="shared" si="16" ref="N43:Q44">+D43</f>
        <v>0</v>
      </c>
      <c r="O43" s="256">
        <f t="shared" si="16"/>
        <v>0</v>
      </c>
      <c r="P43" s="256">
        <f t="shared" si="16"/>
        <v>0</v>
      </c>
      <c r="Q43" s="256">
        <f t="shared" si="16"/>
        <v>1100</v>
      </c>
      <c r="R43" s="253">
        <f aca="true" t="shared" si="17" ref="R43:R55">SUM(S43:V43)</f>
        <v>3429</v>
      </c>
      <c r="S43" s="253">
        <f>SUM(S44:S44)</f>
        <v>0</v>
      </c>
      <c r="T43" s="253">
        <f>SUM(T44:T44)</f>
        <v>0</v>
      </c>
      <c r="U43" s="253">
        <f>SUM(U44:U44)</f>
        <v>0</v>
      </c>
      <c r="V43" s="253">
        <f>SUM(V44:V44)</f>
        <v>3429</v>
      </c>
      <c r="W43" s="221"/>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row>
    <row r="44" spans="1:58" s="188" customFormat="1" ht="30">
      <c r="A44" s="204">
        <v>1</v>
      </c>
      <c r="B44" s="205" t="s">
        <v>835</v>
      </c>
      <c r="C44" s="256">
        <f t="shared" si="13"/>
        <v>1100</v>
      </c>
      <c r="D44" s="256"/>
      <c r="E44" s="206"/>
      <c r="F44" s="206"/>
      <c r="G44" s="206">
        <v>1100</v>
      </c>
      <c r="H44" s="256">
        <f t="shared" si="14"/>
        <v>0</v>
      </c>
      <c r="I44" s="256"/>
      <c r="J44" s="206"/>
      <c r="K44" s="206"/>
      <c r="L44" s="206"/>
      <c r="M44" s="256">
        <f t="shared" si="15"/>
        <v>1100</v>
      </c>
      <c r="N44" s="256">
        <f t="shared" si="16"/>
        <v>0</v>
      </c>
      <c r="O44" s="256">
        <f t="shared" si="16"/>
        <v>0</v>
      </c>
      <c r="P44" s="256">
        <f t="shared" si="16"/>
        <v>0</v>
      </c>
      <c r="Q44" s="256">
        <f t="shared" si="16"/>
        <v>1100</v>
      </c>
      <c r="R44" s="256">
        <f t="shared" si="17"/>
        <v>3429</v>
      </c>
      <c r="S44" s="256"/>
      <c r="T44" s="256"/>
      <c r="U44" s="256"/>
      <c r="V44" s="256">
        <v>3429</v>
      </c>
      <c r="W44" s="189" t="s">
        <v>796</v>
      </c>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row>
    <row r="45" spans="1:58" s="195" customFormat="1" ht="21.75" customHeight="1">
      <c r="A45" s="192" t="s">
        <v>836</v>
      </c>
      <c r="B45" s="193" t="s">
        <v>837</v>
      </c>
      <c r="C45" s="252">
        <f t="shared" si="13"/>
        <v>3040</v>
      </c>
      <c r="D45" s="252">
        <f>+D46+D49+D51+D53</f>
        <v>0</v>
      </c>
      <c r="E45" s="252">
        <f>+E46+E49+E51+E53</f>
        <v>0</v>
      </c>
      <c r="F45" s="252">
        <f>+F46+F49+F51+F53</f>
        <v>1240</v>
      </c>
      <c r="G45" s="252">
        <f>+G46+G49+G51+G53</f>
        <v>1800</v>
      </c>
      <c r="H45" s="252">
        <f t="shared" si="14"/>
        <v>2120</v>
      </c>
      <c r="I45" s="252">
        <f>+I46+I49+I51+I53</f>
        <v>0</v>
      </c>
      <c r="J45" s="252">
        <f>+J46+J49+J51+J53</f>
        <v>0</v>
      </c>
      <c r="K45" s="252">
        <f>+K46+K49+K51+K53</f>
        <v>920</v>
      </c>
      <c r="L45" s="252">
        <f>+L46+L49+L51+L53</f>
        <v>1200</v>
      </c>
      <c r="M45" s="252">
        <f>SUM(N45:Q45)</f>
        <v>3040</v>
      </c>
      <c r="N45" s="252">
        <f>+N46+N49+N51+N53</f>
        <v>0</v>
      </c>
      <c r="O45" s="252">
        <f>+O46+O49+O51+O53</f>
        <v>0</v>
      </c>
      <c r="P45" s="252">
        <f>+P46+P49+P51+P53</f>
        <v>1240</v>
      </c>
      <c r="Q45" s="252">
        <f>+Q46+Q49+Q51+Q53</f>
        <v>1800</v>
      </c>
      <c r="R45" s="252">
        <f t="shared" si="17"/>
        <v>13830</v>
      </c>
      <c r="S45" s="252">
        <f>+S46+S49+S51+S53</f>
        <v>0</v>
      </c>
      <c r="T45" s="252">
        <f>+T46+T49+T51+T53</f>
        <v>0</v>
      </c>
      <c r="U45" s="252">
        <f>+U46+U49+U51+U53</f>
        <v>3500</v>
      </c>
      <c r="V45" s="252">
        <f>+V46+V49+V51+V53</f>
        <v>10330</v>
      </c>
      <c r="W45" s="220"/>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row>
    <row r="46" spans="1:58" s="199" customFormat="1" ht="21.75" customHeight="1">
      <c r="A46" s="196" t="s">
        <v>486</v>
      </c>
      <c r="B46" s="197" t="s">
        <v>838</v>
      </c>
      <c r="C46" s="253">
        <f>SUM(D46:G46)</f>
        <v>1160</v>
      </c>
      <c r="D46" s="253">
        <f>SUM(D47:D48)</f>
        <v>0</v>
      </c>
      <c r="E46" s="253">
        <f>SUM(E47:E48)</f>
        <v>0</v>
      </c>
      <c r="F46" s="253">
        <f>SUM(F47:F48)</f>
        <v>360</v>
      </c>
      <c r="G46" s="253">
        <f>SUM(G47:G48)</f>
        <v>800</v>
      </c>
      <c r="H46" s="253">
        <f t="shared" si="14"/>
        <v>1160</v>
      </c>
      <c r="I46" s="253">
        <f>SUM(I47:I48)</f>
        <v>0</v>
      </c>
      <c r="J46" s="253">
        <f>SUM(J47:J48)</f>
        <v>0</v>
      </c>
      <c r="K46" s="253">
        <f>SUM(K47:K48)</f>
        <v>360</v>
      </c>
      <c r="L46" s="253">
        <f>SUM(L47:L48)</f>
        <v>800</v>
      </c>
      <c r="M46" s="253">
        <f t="shared" si="15"/>
        <v>1160</v>
      </c>
      <c r="N46" s="256">
        <f aca="true" t="shared" si="18" ref="N46:N54">+D46</f>
        <v>0</v>
      </c>
      <c r="O46" s="256">
        <f aca="true" t="shared" si="19" ref="O46:O54">+E46</f>
        <v>0</v>
      </c>
      <c r="P46" s="256">
        <f aca="true" t="shared" si="20" ref="P46:P54">+F46</f>
        <v>360</v>
      </c>
      <c r="Q46" s="256">
        <f aca="true" t="shared" si="21" ref="Q46:Q55">+G46</f>
        <v>800</v>
      </c>
      <c r="R46" s="253">
        <f t="shared" si="17"/>
        <v>4400</v>
      </c>
      <c r="S46" s="253">
        <f>SUM(S47:S48)</f>
        <v>0</v>
      </c>
      <c r="T46" s="253">
        <f>SUM(T47:T48)</f>
        <v>0</v>
      </c>
      <c r="U46" s="253">
        <f>SUM(U47:U48)</f>
        <v>2400</v>
      </c>
      <c r="V46" s="253">
        <f>SUM(V47:V48)</f>
        <v>2000</v>
      </c>
      <c r="W46" s="221"/>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row>
    <row r="47" spans="1:58" s="183" customFormat="1" ht="30">
      <c r="A47" s="204">
        <v>1</v>
      </c>
      <c r="B47" s="205" t="s">
        <v>795</v>
      </c>
      <c r="C47" s="256">
        <f>SUM(D47:G47)</f>
        <v>560</v>
      </c>
      <c r="D47" s="256"/>
      <c r="E47" s="206"/>
      <c r="F47" s="206">
        <v>60</v>
      </c>
      <c r="G47" s="206">
        <f>300+200</f>
        <v>500</v>
      </c>
      <c r="H47" s="256">
        <f t="shared" si="14"/>
        <v>560</v>
      </c>
      <c r="I47" s="256"/>
      <c r="J47" s="206"/>
      <c r="K47" s="206">
        <v>60</v>
      </c>
      <c r="L47" s="206">
        <f>+G47</f>
        <v>500</v>
      </c>
      <c r="M47" s="256">
        <f t="shared" si="15"/>
        <v>560</v>
      </c>
      <c r="N47" s="256">
        <f t="shared" si="18"/>
        <v>0</v>
      </c>
      <c r="O47" s="256">
        <f t="shared" si="19"/>
        <v>0</v>
      </c>
      <c r="P47" s="256">
        <f t="shared" si="20"/>
        <v>60</v>
      </c>
      <c r="Q47" s="256">
        <f t="shared" si="21"/>
        <v>500</v>
      </c>
      <c r="R47" s="256">
        <f t="shared" si="17"/>
        <v>3600</v>
      </c>
      <c r="S47" s="256">
        <f>+D47</f>
        <v>0</v>
      </c>
      <c r="T47" s="256">
        <f>+E47</f>
        <v>0</v>
      </c>
      <c r="U47" s="256">
        <v>2000</v>
      </c>
      <c r="V47" s="256">
        <v>1600</v>
      </c>
      <c r="W47" s="189"/>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row>
    <row r="48" spans="1:58" s="183" customFormat="1" ht="30">
      <c r="A48" s="204">
        <v>2</v>
      </c>
      <c r="B48" s="205" t="s">
        <v>839</v>
      </c>
      <c r="C48" s="256">
        <f>SUM(D48:G48)</f>
        <v>600</v>
      </c>
      <c r="D48" s="256"/>
      <c r="E48" s="206"/>
      <c r="F48" s="206">
        <v>300</v>
      </c>
      <c r="G48" s="206">
        <v>300</v>
      </c>
      <c r="H48" s="256">
        <f t="shared" si="14"/>
        <v>600</v>
      </c>
      <c r="I48" s="256"/>
      <c r="J48" s="206"/>
      <c r="K48" s="206">
        <v>300</v>
      </c>
      <c r="L48" s="206">
        <f>+G48</f>
        <v>300</v>
      </c>
      <c r="M48" s="256">
        <f t="shared" si="15"/>
        <v>600</v>
      </c>
      <c r="N48" s="256">
        <f t="shared" si="18"/>
        <v>0</v>
      </c>
      <c r="O48" s="256">
        <f t="shared" si="19"/>
        <v>0</v>
      </c>
      <c r="P48" s="256">
        <f t="shared" si="20"/>
        <v>300</v>
      </c>
      <c r="Q48" s="256">
        <f t="shared" si="21"/>
        <v>300</v>
      </c>
      <c r="R48" s="256">
        <f t="shared" si="17"/>
        <v>800</v>
      </c>
      <c r="S48" s="256">
        <f>+D48</f>
        <v>0</v>
      </c>
      <c r="T48" s="256">
        <f>+E48</f>
        <v>0</v>
      </c>
      <c r="U48" s="256">
        <v>400</v>
      </c>
      <c r="V48" s="256">
        <v>400</v>
      </c>
      <c r="W48" s="189" t="s">
        <v>796</v>
      </c>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row>
    <row r="49" spans="1:58" s="199" customFormat="1" ht="27.75" customHeight="1">
      <c r="A49" s="196" t="s">
        <v>484</v>
      </c>
      <c r="B49" s="197" t="s">
        <v>920</v>
      </c>
      <c r="C49" s="253">
        <f t="shared" si="13"/>
        <v>200</v>
      </c>
      <c r="D49" s="253">
        <f>SUM(D50:D50)</f>
        <v>0</v>
      </c>
      <c r="E49" s="253">
        <f>SUM(E50:E50)</f>
        <v>0</v>
      </c>
      <c r="F49" s="253">
        <f>SUM(F50:F50)</f>
        <v>0</v>
      </c>
      <c r="G49" s="253">
        <f>SUM(G50:G50)</f>
        <v>200</v>
      </c>
      <c r="H49" s="253">
        <f t="shared" si="14"/>
        <v>100</v>
      </c>
      <c r="I49" s="253">
        <f>SUM(I50:I50)</f>
        <v>0</v>
      </c>
      <c r="J49" s="253">
        <f>SUM(J50:J50)</f>
        <v>0</v>
      </c>
      <c r="K49" s="253">
        <f>SUM(K50:K50)</f>
        <v>0</v>
      </c>
      <c r="L49" s="253">
        <f>SUM(L50:L50)</f>
        <v>100</v>
      </c>
      <c r="M49" s="253">
        <f t="shared" si="15"/>
        <v>200</v>
      </c>
      <c r="N49" s="256">
        <f t="shared" si="18"/>
        <v>0</v>
      </c>
      <c r="O49" s="256">
        <f t="shared" si="19"/>
        <v>0</v>
      </c>
      <c r="P49" s="256">
        <f t="shared" si="20"/>
        <v>0</v>
      </c>
      <c r="Q49" s="256">
        <f t="shared" si="21"/>
        <v>200</v>
      </c>
      <c r="R49" s="253">
        <f t="shared" si="17"/>
        <v>3820</v>
      </c>
      <c r="S49" s="253">
        <f>SUM(S50:S50)</f>
        <v>0</v>
      </c>
      <c r="T49" s="253">
        <f>SUM(T50:T50)</f>
        <v>0</v>
      </c>
      <c r="U49" s="253">
        <f>SUM(U50:U50)</f>
        <v>0</v>
      </c>
      <c r="V49" s="253">
        <f>SUM(V50:V50)</f>
        <v>3820</v>
      </c>
      <c r="W49" s="221"/>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row>
    <row r="50" spans="1:58" s="183" customFormat="1" ht="21.75" customHeight="1">
      <c r="A50" s="204"/>
      <c r="B50" s="205" t="s">
        <v>840</v>
      </c>
      <c r="C50" s="256">
        <f aca="true" t="shared" si="22" ref="C50:C55">SUM(D50:G50)</f>
        <v>200</v>
      </c>
      <c r="D50" s="256"/>
      <c r="E50" s="206"/>
      <c r="F50" s="206"/>
      <c r="G50" s="206">
        <v>200</v>
      </c>
      <c r="H50" s="256">
        <f t="shared" si="14"/>
        <v>100</v>
      </c>
      <c r="I50" s="256"/>
      <c r="J50" s="206"/>
      <c r="K50" s="206"/>
      <c r="L50" s="206">
        <v>100</v>
      </c>
      <c r="M50" s="256">
        <f t="shared" si="15"/>
        <v>200</v>
      </c>
      <c r="N50" s="256">
        <f t="shared" si="18"/>
        <v>0</v>
      </c>
      <c r="O50" s="256">
        <f t="shared" si="19"/>
        <v>0</v>
      </c>
      <c r="P50" s="256">
        <f t="shared" si="20"/>
        <v>0</v>
      </c>
      <c r="Q50" s="256">
        <f t="shared" si="21"/>
        <v>200</v>
      </c>
      <c r="R50" s="256">
        <f t="shared" si="17"/>
        <v>3820</v>
      </c>
      <c r="S50" s="256">
        <f>+D50</f>
        <v>0</v>
      </c>
      <c r="T50" s="256">
        <f>+E50</f>
        <v>0</v>
      </c>
      <c r="U50" s="256">
        <f>+F50</f>
        <v>0</v>
      </c>
      <c r="V50" s="256">
        <v>3820</v>
      </c>
      <c r="W50" s="189"/>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row>
    <row r="51" spans="1:58" s="199" customFormat="1" ht="21.75" customHeight="1">
      <c r="A51" s="196" t="s">
        <v>496</v>
      </c>
      <c r="B51" s="197" t="s">
        <v>841</v>
      </c>
      <c r="C51" s="253">
        <f t="shared" si="22"/>
        <v>480</v>
      </c>
      <c r="D51" s="253">
        <f>SUM(D52:D52)</f>
        <v>0</v>
      </c>
      <c r="E51" s="253">
        <f>SUM(E52:E52)</f>
        <v>0</v>
      </c>
      <c r="F51" s="253">
        <f>SUM(F52:F52)</f>
        <v>80</v>
      </c>
      <c r="G51" s="253">
        <f>SUM(G52:G52)</f>
        <v>400</v>
      </c>
      <c r="H51" s="253">
        <f>SUM(I51:L51)</f>
        <v>360</v>
      </c>
      <c r="I51" s="253">
        <f>SUM(I52:I52)</f>
        <v>0</v>
      </c>
      <c r="J51" s="253">
        <f>SUM(J52:J52)</f>
        <v>0</v>
      </c>
      <c r="K51" s="253">
        <f>SUM(K52:K52)</f>
        <v>60</v>
      </c>
      <c r="L51" s="253">
        <f>SUM(L52:L52)</f>
        <v>300</v>
      </c>
      <c r="M51" s="253">
        <f>SUM(N51:Q51)</f>
        <v>480</v>
      </c>
      <c r="N51" s="256">
        <f t="shared" si="18"/>
        <v>0</v>
      </c>
      <c r="O51" s="256">
        <f t="shared" si="19"/>
        <v>0</v>
      </c>
      <c r="P51" s="256">
        <f t="shared" si="20"/>
        <v>80</v>
      </c>
      <c r="Q51" s="256">
        <f t="shared" si="21"/>
        <v>400</v>
      </c>
      <c r="R51" s="253">
        <f t="shared" si="17"/>
        <v>2420</v>
      </c>
      <c r="S51" s="253">
        <f>SUM(S52:S52)</f>
        <v>0</v>
      </c>
      <c r="T51" s="253">
        <f>SUM(T52:T52)</f>
        <v>0</v>
      </c>
      <c r="U51" s="253">
        <f>SUM(U52:U52)</f>
        <v>100</v>
      </c>
      <c r="V51" s="253">
        <f>SUM(V52:V52)</f>
        <v>2320</v>
      </c>
      <c r="W51" s="221"/>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row>
    <row r="52" spans="1:58" s="183" customFormat="1" ht="21.75" customHeight="1">
      <c r="A52" s="204">
        <v>1</v>
      </c>
      <c r="B52" s="205" t="s">
        <v>842</v>
      </c>
      <c r="C52" s="256">
        <f t="shared" si="22"/>
        <v>480</v>
      </c>
      <c r="D52" s="256"/>
      <c r="E52" s="206"/>
      <c r="F52" s="206">
        <v>80</v>
      </c>
      <c r="G52" s="206">
        <v>400</v>
      </c>
      <c r="H52" s="256">
        <f>SUM(I52:L52)</f>
        <v>360</v>
      </c>
      <c r="I52" s="256"/>
      <c r="J52" s="206"/>
      <c r="K52" s="206">
        <v>60</v>
      </c>
      <c r="L52" s="206">
        <v>300</v>
      </c>
      <c r="M52" s="256">
        <f>SUM(N52:Q52)</f>
        <v>480</v>
      </c>
      <c r="N52" s="256">
        <f t="shared" si="18"/>
        <v>0</v>
      </c>
      <c r="O52" s="256">
        <f t="shared" si="19"/>
        <v>0</v>
      </c>
      <c r="P52" s="256">
        <f t="shared" si="20"/>
        <v>80</v>
      </c>
      <c r="Q52" s="256">
        <f t="shared" si="21"/>
        <v>400</v>
      </c>
      <c r="R52" s="256">
        <f t="shared" si="17"/>
        <v>2420</v>
      </c>
      <c r="S52" s="256">
        <f>+D52</f>
        <v>0</v>
      </c>
      <c r="T52" s="256">
        <f>+E52</f>
        <v>0</v>
      </c>
      <c r="U52" s="256">
        <v>100</v>
      </c>
      <c r="V52" s="256">
        <f>2320</f>
        <v>2320</v>
      </c>
      <c r="W52" s="189"/>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row>
    <row r="53" spans="1:58" s="199" customFormat="1" ht="30">
      <c r="A53" s="196" t="s">
        <v>498</v>
      </c>
      <c r="B53" s="197" t="s">
        <v>843</v>
      </c>
      <c r="C53" s="253">
        <f t="shared" si="22"/>
        <v>1200</v>
      </c>
      <c r="D53" s="253">
        <f>SUM(D54:D55)</f>
        <v>0</v>
      </c>
      <c r="E53" s="253">
        <f>SUM(E54:E55)</f>
        <v>0</v>
      </c>
      <c r="F53" s="253">
        <f>SUM(F54:F55)</f>
        <v>800</v>
      </c>
      <c r="G53" s="253">
        <f>SUM(G54:G55)</f>
        <v>400</v>
      </c>
      <c r="H53" s="253">
        <f>SUM(I53:L53)</f>
        <v>500</v>
      </c>
      <c r="I53" s="253">
        <f>SUM(I54:I55)</f>
        <v>0</v>
      </c>
      <c r="J53" s="253">
        <f>SUM(J54:J55)</f>
        <v>0</v>
      </c>
      <c r="K53" s="253">
        <f>SUM(K54:K55)</f>
        <v>500</v>
      </c>
      <c r="L53" s="253">
        <f>SUM(L54:L55)</f>
        <v>0</v>
      </c>
      <c r="M53" s="253">
        <f>SUM(N53:Q53)</f>
        <v>1200</v>
      </c>
      <c r="N53" s="253">
        <f>SUM(N54:N55)</f>
        <v>0</v>
      </c>
      <c r="O53" s="253">
        <f>SUM(O54:O55)</f>
        <v>0</v>
      </c>
      <c r="P53" s="253">
        <f>SUM(P54:P55)</f>
        <v>800</v>
      </c>
      <c r="Q53" s="253">
        <f>SUM(Q54:Q55)</f>
        <v>400</v>
      </c>
      <c r="R53" s="253">
        <f t="shared" si="17"/>
        <v>3190</v>
      </c>
      <c r="S53" s="253">
        <f>SUM(S54:S55)</f>
        <v>0</v>
      </c>
      <c r="T53" s="253">
        <f>SUM(T54:T55)</f>
        <v>0</v>
      </c>
      <c r="U53" s="253">
        <f>SUM(U54:U55)</f>
        <v>1000</v>
      </c>
      <c r="V53" s="253">
        <f>SUM(V54:V55)</f>
        <v>2190</v>
      </c>
      <c r="W53" s="221"/>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row>
    <row r="54" spans="1:58" s="183" customFormat="1" ht="30">
      <c r="A54" s="204">
        <v>1</v>
      </c>
      <c r="B54" s="205" t="s">
        <v>844</v>
      </c>
      <c r="C54" s="256">
        <f t="shared" si="22"/>
        <v>800</v>
      </c>
      <c r="D54" s="256"/>
      <c r="E54" s="206"/>
      <c r="F54" s="206">
        <f>640+160</f>
        <v>800</v>
      </c>
      <c r="G54" s="206"/>
      <c r="H54" s="256">
        <f>SUM(I54:L54)</f>
        <v>500</v>
      </c>
      <c r="I54" s="256"/>
      <c r="J54" s="206"/>
      <c r="K54" s="206">
        <v>500</v>
      </c>
      <c r="L54" s="206"/>
      <c r="M54" s="256">
        <f>SUM(N54:Q54)</f>
        <v>800</v>
      </c>
      <c r="N54" s="256">
        <f t="shared" si="18"/>
        <v>0</v>
      </c>
      <c r="O54" s="256">
        <f t="shared" si="19"/>
        <v>0</v>
      </c>
      <c r="P54" s="256">
        <f t="shared" si="20"/>
        <v>800</v>
      </c>
      <c r="Q54" s="256">
        <f t="shared" si="21"/>
        <v>0</v>
      </c>
      <c r="R54" s="256">
        <f t="shared" si="17"/>
        <v>1000</v>
      </c>
      <c r="S54" s="256">
        <f>+D54</f>
        <v>0</v>
      </c>
      <c r="T54" s="256">
        <f>+E54</f>
        <v>0</v>
      </c>
      <c r="U54" s="256">
        <v>1000</v>
      </c>
      <c r="V54" s="256">
        <f>+G54</f>
        <v>0</v>
      </c>
      <c r="W54" s="189"/>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row>
    <row r="55" spans="1:58" s="183" customFormat="1" ht="45">
      <c r="A55" s="204">
        <v>2</v>
      </c>
      <c r="B55" s="205" t="s">
        <v>921</v>
      </c>
      <c r="C55" s="256">
        <f t="shared" si="22"/>
        <v>400</v>
      </c>
      <c r="D55" s="256"/>
      <c r="E55" s="206"/>
      <c r="F55" s="206"/>
      <c r="G55" s="206">
        <v>400</v>
      </c>
      <c r="H55" s="256">
        <f>SUM(I55:L55)</f>
        <v>0</v>
      </c>
      <c r="I55" s="256"/>
      <c r="J55" s="206"/>
      <c r="K55" s="206"/>
      <c r="L55" s="206">
        <v>0</v>
      </c>
      <c r="M55" s="256">
        <f>SUM(N55:Q55)</f>
        <v>400</v>
      </c>
      <c r="N55" s="256"/>
      <c r="O55" s="206"/>
      <c r="P55" s="206"/>
      <c r="Q55" s="256">
        <f t="shared" si="21"/>
        <v>400</v>
      </c>
      <c r="R55" s="256">
        <f t="shared" si="17"/>
        <v>2190</v>
      </c>
      <c r="S55" s="256"/>
      <c r="T55" s="206"/>
      <c r="U55" s="206"/>
      <c r="V55" s="206">
        <v>2190</v>
      </c>
      <c r="W55" s="189"/>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row>
  </sheetData>
  <sheetProtection/>
  <mergeCells count="26">
    <mergeCell ref="W4:W7"/>
    <mergeCell ref="N6:O6"/>
    <mergeCell ref="P6:Q6"/>
    <mergeCell ref="H4:L4"/>
    <mergeCell ref="M4:Q4"/>
    <mergeCell ref="M5:M7"/>
    <mergeCell ref="N5:Q5"/>
    <mergeCell ref="R4:V4"/>
    <mergeCell ref="R5:R7"/>
    <mergeCell ref="S5:V5"/>
    <mergeCell ref="S6:T6"/>
    <mergeCell ref="U6:V6"/>
    <mergeCell ref="D6:E6"/>
    <mergeCell ref="F6:G6"/>
    <mergeCell ref="I6:J6"/>
    <mergeCell ref="K6:L6"/>
    <mergeCell ref="A1:W1"/>
    <mergeCell ref="T3:W3"/>
    <mergeCell ref="H5:H7"/>
    <mergeCell ref="I5:L5"/>
    <mergeCell ref="A2:W2"/>
    <mergeCell ref="B4:B7"/>
    <mergeCell ref="C4:G4"/>
    <mergeCell ref="A4:A7"/>
    <mergeCell ref="C5:C7"/>
    <mergeCell ref="D5:G5"/>
  </mergeCells>
  <printOptions horizontalCentered="1"/>
  <pageMargins left="0.25" right="0.25" top="0.8" bottom="0.5" header="0.5" footer="0.25"/>
  <pageSetup firstPageNumber="10" useFirstPageNumber="1" horizontalDpi="600" verticalDpi="600" orientation="landscape" paperSize="9" scale="6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F45"/>
  <sheetViews>
    <sheetView zoomScalePageLayoutView="0" workbookViewId="0" topLeftCell="A34">
      <selection activeCell="B31" sqref="B31"/>
    </sheetView>
  </sheetViews>
  <sheetFormatPr defaultColWidth="8.796875" defaultRowHeight="15"/>
  <cols>
    <col min="1" max="1" width="4.5" style="4" customWidth="1"/>
    <col min="2" max="2" width="51.09765625" style="0" customWidth="1"/>
    <col min="3" max="3" width="7.09765625" style="2" customWidth="1"/>
    <col min="4" max="4" width="8.8984375" style="0" customWidth="1"/>
    <col min="5" max="5" width="7.19921875" style="0" customWidth="1"/>
    <col min="6" max="6" width="9.3984375" style="0" customWidth="1"/>
  </cols>
  <sheetData>
    <row r="1" spans="1:6" ht="21.75" customHeight="1">
      <c r="A1" s="71" t="s">
        <v>696</v>
      </c>
      <c r="B1" s="5"/>
      <c r="C1" s="5"/>
      <c r="D1" s="5"/>
      <c r="E1" s="5"/>
      <c r="F1" s="5"/>
    </row>
    <row r="2" spans="1:6" ht="18" customHeight="1">
      <c r="A2" s="125" t="s">
        <v>761</v>
      </c>
      <c r="B2" s="5"/>
      <c r="C2" s="5"/>
      <c r="D2" s="5"/>
      <c r="E2" s="5"/>
      <c r="F2" s="5"/>
    </row>
    <row r="4" spans="1:6" s="3" customFormat="1" ht="16.5" customHeight="1">
      <c r="A4" s="31" t="s">
        <v>488</v>
      </c>
      <c r="B4" s="31" t="s">
        <v>487</v>
      </c>
      <c r="C4" s="32" t="s">
        <v>600</v>
      </c>
      <c r="D4" s="72" t="s">
        <v>716</v>
      </c>
      <c r="E4" s="73"/>
      <c r="F4" s="33" t="s">
        <v>489</v>
      </c>
    </row>
    <row r="5" spans="1:6" s="3" customFormat="1" ht="16.5" customHeight="1">
      <c r="A5" s="34"/>
      <c r="B5" s="34"/>
      <c r="C5" s="35" t="s">
        <v>601</v>
      </c>
      <c r="D5" s="32" t="s">
        <v>500</v>
      </c>
      <c r="E5" s="32" t="s">
        <v>603</v>
      </c>
      <c r="F5" s="48">
        <v>2014</v>
      </c>
    </row>
    <row r="6" spans="1:6" s="3" customFormat="1" ht="16.5" customHeight="1">
      <c r="A6" s="29"/>
      <c r="B6" s="29"/>
      <c r="C6" s="30"/>
      <c r="D6" s="30"/>
      <c r="E6" s="30" t="s">
        <v>604</v>
      </c>
      <c r="F6" s="30"/>
    </row>
    <row r="7" spans="1:6" s="3" customFormat="1" ht="16.5" customHeight="1">
      <c r="A7" s="36" t="s">
        <v>486</v>
      </c>
      <c r="B7" s="37" t="s">
        <v>491</v>
      </c>
      <c r="C7" s="38"/>
      <c r="D7" s="39"/>
      <c r="E7" s="39"/>
      <c r="F7" s="39"/>
    </row>
    <row r="8" spans="1:6" s="3" customFormat="1" ht="16.5" customHeight="1">
      <c r="A8" s="40">
        <v>1</v>
      </c>
      <c r="B8" s="41" t="s">
        <v>611</v>
      </c>
      <c r="C8" s="42" t="s">
        <v>492</v>
      </c>
      <c r="D8" s="43"/>
      <c r="E8" s="43"/>
      <c r="F8" s="43"/>
    </row>
    <row r="9" spans="1:6" s="3" customFormat="1" ht="16.5" customHeight="1">
      <c r="A9" s="40"/>
      <c r="B9" s="41" t="s">
        <v>619</v>
      </c>
      <c r="C9" s="42" t="s">
        <v>492</v>
      </c>
      <c r="D9" s="43"/>
      <c r="E9" s="43"/>
      <c r="F9" s="43"/>
    </row>
    <row r="10" spans="1:6" s="3" customFormat="1" ht="16.5" customHeight="1">
      <c r="A10" s="40">
        <v>2</v>
      </c>
      <c r="B10" s="41" t="s">
        <v>612</v>
      </c>
      <c r="C10" s="42" t="s">
        <v>493</v>
      </c>
      <c r="D10" s="43"/>
      <c r="E10" s="43"/>
      <c r="F10" s="43"/>
    </row>
    <row r="11" spans="1:6" s="3" customFormat="1" ht="16.5" customHeight="1">
      <c r="A11" s="40">
        <v>3</v>
      </c>
      <c r="B11" s="41" t="s">
        <v>614</v>
      </c>
      <c r="C11" s="42" t="s">
        <v>492</v>
      </c>
      <c r="D11" s="43"/>
      <c r="E11" s="43"/>
      <c r="F11" s="43"/>
    </row>
    <row r="12" spans="1:6" s="3" customFormat="1" ht="16.5" customHeight="1">
      <c r="A12" s="40"/>
      <c r="B12" s="41" t="s">
        <v>615</v>
      </c>
      <c r="C12" s="42" t="s">
        <v>492</v>
      </c>
      <c r="D12" s="43"/>
      <c r="E12" s="43"/>
      <c r="F12" s="43"/>
    </row>
    <row r="13" spans="1:6" s="3" customFormat="1" ht="16.5" customHeight="1">
      <c r="A13" s="40">
        <v>4</v>
      </c>
      <c r="B13" s="41" t="s">
        <v>616</v>
      </c>
      <c r="C13" s="42" t="s">
        <v>494</v>
      </c>
      <c r="D13" s="43"/>
      <c r="E13" s="43"/>
      <c r="F13" s="43"/>
    </row>
    <row r="14" spans="1:6" s="3" customFormat="1" ht="16.5" customHeight="1">
      <c r="A14" s="40"/>
      <c r="B14" s="41" t="s">
        <v>617</v>
      </c>
      <c r="C14" s="44" t="s">
        <v>494</v>
      </c>
      <c r="D14" s="27"/>
      <c r="E14" s="27"/>
      <c r="F14" s="27"/>
    </row>
    <row r="15" spans="1:6" s="3" customFormat="1" ht="16.5" customHeight="1">
      <c r="A15" s="40"/>
      <c r="B15" s="41" t="s">
        <v>620</v>
      </c>
      <c r="C15" s="42" t="s">
        <v>494</v>
      </c>
      <c r="D15" s="27"/>
      <c r="E15" s="27"/>
      <c r="F15" s="27"/>
    </row>
    <row r="16" spans="1:6" s="3" customFormat="1" ht="16.5" customHeight="1">
      <c r="A16" s="40"/>
      <c r="B16" s="41" t="s">
        <v>621</v>
      </c>
      <c r="C16" s="44" t="s">
        <v>494</v>
      </c>
      <c r="D16" s="27"/>
      <c r="E16" s="27"/>
      <c r="F16" s="27"/>
    </row>
    <row r="17" spans="1:6" s="3" customFormat="1" ht="16.5" customHeight="1">
      <c r="A17" s="40">
        <v>5</v>
      </c>
      <c r="B17" s="41" t="s">
        <v>623</v>
      </c>
      <c r="C17" s="42" t="s">
        <v>492</v>
      </c>
      <c r="D17" s="27"/>
      <c r="E17" s="27"/>
      <c r="F17" s="27"/>
    </row>
    <row r="18" spans="1:6" s="3" customFormat="1" ht="16.5" customHeight="1">
      <c r="A18" s="40"/>
      <c r="B18" s="41" t="s">
        <v>624</v>
      </c>
      <c r="C18" s="42" t="s">
        <v>492</v>
      </c>
      <c r="D18" s="27"/>
      <c r="E18" s="27"/>
      <c r="F18" s="27"/>
    </row>
    <row r="19" spans="1:6" s="3" customFormat="1" ht="16.5" customHeight="1">
      <c r="A19" s="40">
        <v>6</v>
      </c>
      <c r="B19" s="41" t="s">
        <v>625</v>
      </c>
      <c r="C19" s="42" t="s">
        <v>494</v>
      </c>
      <c r="D19" s="27"/>
      <c r="E19" s="27"/>
      <c r="F19" s="27"/>
    </row>
    <row r="20" spans="1:6" s="3" customFormat="1" ht="16.5" customHeight="1">
      <c r="A20" s="40"/>
      <c r="B20" s="41" t="s">
        <v>626</v>
      </c>
      <c r="C20" s="44" t="s">
        <v>494</v>
      </c>
      <c r="D20" s="27"/>
      <c r="E20" s="27"/>
      <c r="F20" s="27"/>
    </row>
    <row r="21" spans="1:6" s="3" customFormat="1" ht="16.5" customHeight="1">
      <c r="A21" s="40"/>
      <c r="B21" s="41" t="s">
        <v>627</v>
      </c>
      <c r="C21" s="44" t="s">
        <v>494</v>
      </c>
      <c r="D21" s="27"/>
      <c r="E21" s="27"/>
      <c r="F21" s="27"/>
    </row>
    <row r="22" spans="1:6" s="3" customFormat="1" ht="16.5" customHeight="1">
      <c r="A22" s="45"/>
      <c r="B22" s="25" t="s">
        <v>628</v>
      </c>
      <c r="C22" s="46" t="s">
        <v>494</v>
      </c>
      <c r="D22" s="47"/>
      <c r="E22" s="47"/>
      <c r="F22" s="47"/>
    </row>
    <row r="23" spans="1:6" s="3" customFormat="1" ht="16.5" customHeight="1">
      <c r="A23" s="36" t="s">
        <v>484</v>
      </c>
      <c r="B23" s="37" t="s">
        <v>495</v>
      </c>
      <c r="C23" s="28"/>
      <c r="D23" s="26"/>
      <c r="E23" s="26"/>
      <c r="F23" s="26"/>
    </row>
    <row r="24" spans="1:6" s="3" customFormat="1" ht="16.5" customHeight="1">
      <c r="A24" s="40"/>
      <c r="B24" s="41" t="s">
        <v>682</v>
      </c>
      <c r="C24" s="44" t="s">
        <v>493</v>
      </c>
      <c r="D24" s="27"/>
      <c r="E24" s="27"/>
      <c r="F24" s="27"/>
    </row>
    <row r="25" spans="1:6" s="3" customFormat="1" ht="16.5" customHeight="1">
      <c r="A25" s="40"/>
      <c r="B25" s="41" t="s">
        <v>683</v>
      </c>
      <c r="C25" s="44" t="s">
        <v>493</v>
      </c>
      <c r="D25" s="27"/>
      <c r="E25" s="27"/>
      <c r="F25" s="27"/>
    </row>
    <row r="26" spans="1:6" s="3" customFormat="1" ht="16.5" customHeight="1">
      <c r="A26" s="40"/>
      <c r="B26" s="41" t="s">
        <v>684</v>
      </c>
      <c r="C26" s="44" t="s">
        <v>494</v>
      </c>
      <c r="D26" s="27"/>
      <c r="E26" s="27"/>
      <c r="F26" s="27"/>
    </row>
    <row r="27" spans="1:6" s="3" customFormat="1" ht="16.5" customHeight="1">
      <c r="A27" s="40"/>
      <c r="B27" s="41" t="s">
        <v>685</v>
      </c>
      <c r="C27" s="44" t="s">
        <v>494</v>
      </c>
      <c r="D27" s="27"/>
      <c r="E27" s="27"/>
      <c r="F27" s="27"/>
    </row>
    <row r="28" spans="1:6" s="3" customFormat="1" ht="16.5" customHeight="1">
      <c r="A28" s="40"/>
      <c r="B28" s="41" t="s">
        <v>690</v>
      </c>
      <c r="C28" s="42" t="s">
        <v>494</v>
      </c>
      <c r="D28" s="27"/>
      <c r="E28" s="27"/>
      <c r="F28" s="27"/>
    </row>
    <row r="29" spans="1:6" s="3" customFormat="1" ht="16.5" customHeight="1">
      <c r="A29" s="45"/>
      <c r="B29" s="25" t="s">
        <v>691</v>
      </c>
      <c r="C29" s="46" t="s">
        <v>494</v>
      </c>
      <c r="D29" s="47"/>
      <c r="E29" s="47"/>
      <c r="F29" s="47"/>
    </row>
    <row r="30" spans="1:6" s="3" customFormat="1" ht="16.5" customHeight="1">
      <c r="A30" s="36" t="s">
        <v>496</v>
      </c>
      <c r="B30" s="37" t="s">
        <v>613</v>
      </c>
      <c r="C30" s="28"/>
      <c r="D30" s="26"/>
      <c r="E30" s="26"/>
      <c r="F30" s="26"/>
    </row>
    <row r="31" spans="1:6" s="3" customFormat="1" ht="16.5" customHeight="1">
      <c r="A31" s="36"/>
      <c r="B31" s="37" t="s">
        <v>605</v>
      </c>
      <c r="C31" s="28"/>
      <c r="D31" s="26"/>
      <c r="E31" s="26"/>
      <c r="F31" s="26"/>
    </row>
    <row r="32" spans="1:6" s="3" customFormat="1" ht="16.5" customHeight="1">
      <c r="A32" s="40">
        <v>1</v>
      </c>
      <c r="B32" s="41" t="s">
        <v>629</v>
      </c>
      <c r="C32" s="44"/>
      <c r="D32" s="27"/>
      <c r="E32" s="27"/>
      <c r="F32" s="27"/>
    </row>
    <row r="33" spans="1:6" s="3" customFormat="1" ht="16.5" customHeight="1">
      <c r="A33" s="40"/>
      <c r="B33" s="41" t="s">
        <v>676</v>
      </c>
      <c r="C33" s="44" t="s">
        <v>497</v>
      </c>
      <c r="D33" s="27"/>
      <c r="E33" s="27"/>
      <c r="F33" s="27"/>
    </row>
    <row r="34" spans="1:6" s="3" customFormat="1" ht="16.5" customHeight="1">
      <c r="A34" s="40"/>
      <c r="B34" s="41" t="s">
        <v>675</v>
      </c>
      <c r="C34" s="44" t="s">
        <v>497</v>
      </c>
      <c r="D34" s="27"/>
      <c r="E34" s="27"/>
      <c r="F34" s="27"/>
    </row>
    <row r="35" spans="1:6" s="3" customFormat="1" ht="16.5" customHeight="1">
      <c r="A35" s="40"/>
      <c r="B35" s="41" t="s">
        <v>677</v>
      </c>
      <c r="C35" s="44" t="s">
        <v>497</v>
      </c>
      <c r="D35" s="27"/>
      <c r="E35" s="27"/>
      <c r="F35" s="27"/>
    </row>
    <row r="36" spans="1:6" s="3" customFormat="1" ht="16.5" customHeight="1">
      <c r="A36" s="40"/>
      <c r="B36" s="41" t="s">
        <v>678</v>
      </c>
      <c r="C36" s="44" t="s">
        <v>494</v>
      </c>
      <c r="D36" s="27"/>
      <c r="E36" s="27"/>
      <c r="F36" s="27"/>
    </row>
    <row r="37" spans="1:6" s="3" customFormat="1" ht="16.5" customHeight="1">
      <c r="A37" s="40"/>
      <c r="B37" s="41" t="s">
        <v>679</v>
      </c>
      <c r="C37" s="44" t="s">
        <v>494</v>
      </c>
      <c r="D37" s="27"/>
      <c r="E37" s="27"/>
      <c r="F37" s="27"/>
    </row>
    <row r="38" spans="1:6" s="3" customFormat="1" ht="16.5" customHeight="1">
      <c r="A38" s="40">
        <v>2</v>
      </c>
      <c r="B38" s="41" t="s">
        <v>630</v>
      </c>
      <c r="C38" s="44"/>
      <c r="D38" s="27"/>
      <c r="E38" s="27"/>
      <c r="F38" s="27"/>
    </row>
    <row r="39" spans="1:6" s="3" customFormat="1" ht="16.5" customHeight="1">
      <c r="A39" s="45">
        <v>3</v>
      </c>
      <c r="B39" s="25" t="s">
        <v>610</v>
      </c>
      <c r="C39" s="46"/>
      <c r="D39" s="47"/>
      <c r="E39" s="47"/>
      <c r="F39" s="47"/>
    </row>
    <row r="40" spans="1:6" s="3" customFormat="1" ht="16.5" customHeight="1">
      <c r="A40" s="36" t="s">
        <v>498</v>
      </c>
      <c r="B40" s="37" t="s">
        <v>499</v>
      </c>
      <c r="C40" s="28"/>
      <c r="D40" s="26"/>
      <c r="E40" s="26"/>
      <c r="F40" s="26"/>
    </row>
    <row r="41" spans="1:6" s="3" customFormat="1" ht="16.5" customHeight="1">
      <c r="A41" s="40"/>
      <c r="B41" s="41" t="s">
        <v>681</v>
      </c>
      <c r="C41" s="44" t="s">
        <v>493</v>
      </c>
      <c r="D41" s="27"/>
      <c r="E41" s="27"/>
      <c r="F41" s="27"/>
    </row>
    <row r="42" spans="1:6" s="3" customFormat="1" ht="16.5" customHeight="1">
      <c r="A42" s="40"/>
      <c r="B42" s="41" t="s">
        <v>692</v>
      </c>
      <c r="C42" s="44" t="s">
        <v>494</v>
      </c>
      <c r="D42" s="27"/>
      <c r="E42" s="27"/>
      <c r="F42" s="27"/>
    </row>
    <row r="43" spans="1:6" s="3" customFormat="1" ht="16.5" customHeight="1">
      <c r="A43" s="40"/>
      <c r="B43" s="41" t="s">
        <v>693</v>
      </c>
      <c r="C43" s="44" t="s">
        <v>494</v>
      </c>
      <c r="D43" s="27"/>
      <c r="E43" s="27"/>
      <c r="F43" s="27"/>
    </row>
    <row r="44" spans="1:6" s="3" customFormat="1" ht="16.5" customHeight="1">
      <c r="A44" s="40"/>
      <c r="B44" s="41" t="s">
        <v>694</v>
      </c>
      <c r="C44" s="44" t="s">
        <v>494</v>
      </c>
      <c r="D44" s="27"/>
      <c r="E44" s="27"/>
      <c r="F44" s="27"/>
    </row>
    <row r="45" spans="1:6" s="3" customFormat="1" ht="16.5" customHeight="1">
      <c r="A45" s="45"/>
      <c r="B45" s="25" t="s">
        <v>695</v>
      </c>
      <c r="C45" s="46" t="s">
        <v>494</v>
      </c>
      <c r="D45" s="47"/>
      <c r="E45" s="47"/>
      <c r="F45" s="47"/>
    </row>
  </sheetData>
  <sheetProtection/>
  <printOptions/>
  <pageMargins left="0.65" right="0.4" top="0.5" bottom="0.22"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42"/>
  </sheetPr>
  <dimension ref="A1:AC131"/>
  <sheetViews>
    <sheetView showZeros="0" zoomScale="115" zoomScaleNormal="115" zoomScalePageLayoutView="0" workbookViewId="0" topLeftCell="A4">
      <pane ySplit="5" topLeftCell="A21" activePane="bottomLeft" state="frozen"/>
      <selection pane="topLeft" activeCell="A4" sqref="A4"/>
      <selection pane="bottomLeft" activeCell="L24" sqref="L24"/>
    </sheetView>
  </sheetViews>
  <sheetFormatPr defaultColWidth="8" defaultRowHeight="15"/>
  <cols>
    <col min="1" max="1" width="2.5" style="257" customWidth="1"/>
    <col min="2" max="2" width="21.69921875" style="257" customWidth="1"/>
    <col min="3" max="3" width="5.8984375" style="257" customWidth="1"/>
    <col min="4" max="4" width="13.8984375" style="258" customWidth="1"/>
    <col min="5" max="5" width="4.3984375" style="258" customWidth="1"/>
    <col min="6" max="6" width="5.69921875" style="258" customWidth="1"/>
    <col min="7" max="7" width="6.69921875" style="257" customWidth="1"/>
    <col min="8" max="8" width="7.69921875" style="257" customWidth="1"/>
    <col min="9" max="9" width="6.19921875" style="257" bestFit="1" customWidth="1"/>
    <col min="10" max="10" width="6.3984375" style="257" customWidth="1"/>
    <col min="11" max="11" width="6.5" style="257" customWidth="1"/>
    <col min="12" max="12" width="5.3984375" style="257" customWidth="1"/>
    <col min="13" max="14" width="5.3984375" style="336" hidden="1" customWidth="1"/>
    <col min="15" max="15" width="5.09765625" style="257" customWidth="1"/>
    <col min="16" max="16" width="5.59765625" style="257" customWidth="1"/>
    <col min="17" max="17" width="6.3984375" style="259" customWidth="1"/>
    <col min="18" max="18" width="6.5" style="259" customWidth="1"/>
    <col min="19" max="19" width="5.3984375" style="259" customWidth="1"/>
    <col min="20" max="20" width="4.8984375" style="257" customWidth="1"/>
    <col min="21" max="21" width="4.19921875" style="257" customWidth="1"/>
    <col min="22" max="22" width="5.69921875" style="257" hidden="1" customWidth="1"/>
    <col min="23" max="23" width="5.09765625" style="257" customWidth="1"/>
    <col min="24" max="24" width="6" style="258" customWidth="1"/>
    <col min="25" max="25" width="6.5" style="342" customWidth="1"/>
    <col min="26" max="27" width="6.19921875" style="342" bestFit="1" customWidth="1"/>
    <col min="28" max="28" width="6.19921875" style="258" bestFit="1" customWidth="1"/>
    <col min="29" max="29" width="6.3984375" style="258" bestFit="1" customWidth="1"/>
    <col min="30" max="16384" width="8" style="257" customWidth="1"/>
  </cols>
  <sheetData>
    <row r="1" spans="1:29" s="318" customFormat="1" ht="18" customHeight="1">
      <c r="A1" s="1380" t="s">
        <v>1027</v>
      </c>
      <c r="B1" s="1380"/>
      <c r="C1" s="1380"/>
      <c r="D1" s="1380"/>
      <c r="E1" s="1380"/>
      <c r="F1" s="1380"/>
      <c r="G1" s="1380"/>
      <c r="H1" s="1380"/>
      <c r="I1" s="1380"/>
      <c r="J1" s="1380"/>
      <c r="K1" s="1380"/>
      <c r="L1" s="1380"/>
      <c r="M1" s="1380"/>
      <c r="N1" s="1380"/>
      <c r="O1" s="1380"/>
      <c r="P1" s="1380"/>
      <c r="Q1" s="1380"/>
      <c r="R1" s="1380"/>
      <c r="S1" s="1380"/>
      <c r="T1" s="1380"/>
      <c r="U1" s="1380"/>
      <c r="V1" s="1380"/>
      <c r="W1" s="1380"/>
      <c r="X1" s="319"/>
      <c r="Y1" s="337"/>
      <c r="Z1" s="337"/>
      <c r="AA1" s="337"/>
      <c r="AB1" s="319"/>
      <c r="AC1" s="319"/>
    </row>
    <row r="2" spans="1:29" s="318" customFormat="1" ht="15.75">
      <c r="A2" s="1388" t="s">
        <v>934</v>
      </c>
      <c r="B2" s="1388"/>
      <c r="C2" s="1388"/>
      <c r="D2" s="1388"/>
      <c r="E2" s="1388"/>
      <c r="F2" s="1388"/>
      <c r="G2" s="1388"/>
      <c r="H2" s="1388"/>
      <c r="I2" s="1388"/>
      <c r="J2" s="1388"/>
      <c r="K2" s="1388"/>
      <c r="L2" s="1388"/>
      <c r="M2" s="1388"/>
      <c r="N2" s="1388"/>
      <c r="O2" s="1388"/>
      <c r="P2" s="1388"/>
      <c r="Q2" s="1388"/>
      <c r="R2" s="1388"/>
      <c r="S2" s="1388"/>
      <c r="T2" s="1388"/>
      <c r="U2" s="1388"/>
      <c r="V2" s="1388"/>
      <c r="W2" s="1388"/>
      <c r="X2" s="319"/>
      <c r="Y2" s="337"/>
      <c r="Z2" s="337"/>
      <c r="AA2" s="337"/>
      <c r="AB2" s="319"/>
      <c r="AC2" s="319"/>
    </row>
    <row r="3" spans="4:29" s="318" customFormat="1" ht="12.75">
      <c r="D3" s="319"/>
      <c r="E3" s="319"/>
      <c r="F3" s="319"/>
      <c r="M3" s="324"/>
      <c r="N3" s="324"/>
      <c r="Q3" s="320"/>
      <c r="R3" s="320"/>
      <c r="S3" s="320"/>
      <c r="V3" s="1379" t="s">
        <v>935</v>
      </c>
      <c r="W3" s="1379"/>
      <c r="X3" s="319"/>
      <c r="Y3" s="337"/>
      <c r="Z3" s="337"/>
      <c r="AA3" s="337"/>
      <c r="AB3" s="319"/>
      <c r="AC3" s="319"/>
    </row>
    <row r="4" spans="1:29" s="260" customFormat="1" ht="12.75" customHeight="1">
      <c r="A4" s="1376" t="s">
        <v>488</v>
      </c>
      <c r="B4" s="1376" t="s">
        <v>936</v>
      </c>
      <c r="C4" s="1376" t="s">
        <v>937</v>
      </c>
      <c r="D4" s="1376" t="s">
        <v>938</v>
      </c>
      <c r="E4" s="1376" t="s">
        <v>1028</v>
      </c>
      <c r="F4" s="1376" t="s">
        <v>634</v>
      </c>
      <c r="G4" s="1376" t="s">
        <v>939</v>
      </c>
      <c r="H4" s="1376" t="s">
        <v>944</v>
      </c>
      <c r="I4" s="1381" t="s">
        <v>945</v>
      </c>
      <c r="J4" s="1381"/>
      <c r="K4" s="1381"/>
      <c r="L4" s="1381"/>
      <c r="M4" s="1381"/>
      <c r="N4" s="1381"/>
      <c r="O4" s="1381"/>
      <c r="P4" s="1381"/>
      <c r="Q4" s="1381" t="s">
        <v>893</v>
      </c>
      <c r="R4" s="1381"/>
      <c r="S4" s="1381"/>
      <c r="T4" s="1381"/>
      <c r="U4" s="1381"/>
      <c r="V4" s="1376" t="s">
        <v>946</v>
      </c>
      <c r="W4" s="1381" t="s">
        <v>636</v>
      </c>
      <c r="X4" s="321"/>
      <c r="Y4" s="338"/>
      <c r="Z4" s="338"/>
      <c r="AA4" s="338"/>
      <c r="AB4" s="321"/>
      <c r="AC4" s="321"/>
    </row>
    <row r="5" spans="1:29" s="260" customFormat="1" ht="24.75" customHeight="1">
      <c r="A5" s="1377"/>
      <c r="B5" s="1377"/>
      <c r="C5" s="1377"/>
      <c r="D5" s="1377"/>
      <c r="E5" s="1377"/>
      <c r="F5" s="1377"/>
      <c r="G5" s="1377"/>
      <c r="H5" s="1377"/>
      <c r="I5" s="1376" t="s">
        <v>947</v>
      </c>
      <c r="J5" s="1384" t="s">
        <v>948</v>
      </c>
      <c r="K5" s="1384"/>
      <c r="L5" s="1384"/>
      <c r="M5" s="1384"/>
      <c r="N5" s="1384"/>
      <c r="O5" s="1384"/>
      <c r="P5" s="1385"/>
      <c r="Q5" s="1382" t="s">
        <v>947</v>
      </c>
      <c r="R5" s="1381" t="s">
        <v>949</v>
      </c>
      <c r="S5" s="1381"/>
      <c r="T5" s="1381"/>
      <c r="U5" s="1381"/>
      <c r="V5" s="1377"/>
      <c r="W5" s="1381"/>
      <c r="X5" s="321"/>
      <c r="Y5" s="1386" t="s">
        <v>994</v>
      </c>
      <c r="Z5" s="1386"/>
      <c r="AA5" s="1386"/>
      <c r="AB5" s="1387" t="s">
        <v>996</v>
      </c>
      <c r="AC5" s="1387"/>
    </row>
    <row r="6" spans="1:29" s="260" customFormat="1" ht="36" customHeight="1">
      <c r="A6" s="1377"/>
      <c r="B6" s="1377"/>
      <c r="C6" s="1377"/>
      <c r="D6" s="1377"/>
      <c r="E6" s="1377"/>
      <c r="F6" s="1377"/>
      <c r="G6" s="1377"/>
      <c r="H6" s="1377"/>
      <c r="I6" s="1377"/>
      <c r="J6" s="1376" t="s">
        <v>947</v>
      </c>
      <c r="K6" s="1376" t="s">
        <v>950</v>
      </c>
      <c r="L6" s="1376" t="s">
        <v>951</v>
      </c>
      <c r="M6" s="325"/>
      <c r="N6" s="325"/>
      <c r="O6" s="1376" t="s">
        <v>952</v>
      </c>
      <c r="P6" s="1376" t="s">
        <v>953</v>
      </c>
      <c r="Q6" s="1389"/>
      <c r="R6" s="1382" t="s">
        <v>950</v>
      </c>
      <c r="S6" s="1382" t="s">
        <v>951</v>
      </c>
      <c r="T6" s="1376" t="s">
        <v>990</v>
      </c>
      <c r="U6" s="1376" t="s">
        <v>953</v>
      </c>
      <c r="V6" s="1377"/>
      <c r="W6" s="1381"/>
      <c r="X6" s="321" t="s">
        <v>989</v>
      </c>
      <c r="Y6" s="345" t="s">
        <v>947</v>
      </c>
      <c r="Z6" s="346" t="s">
        <v>995</v>
      </c>
      <c r="AA6" s="346" t="s">
        <v>990</v>
      </c>
      <c r="AB6" s="346" t="s">
        <v>992</v>
      </c>
      <c r="AC6" s="346" t="s">
        <v>993</v>
      </c>
    </row>
    <row r="7" spans="1:29" s="260" customFormat="1" ht="11.25">
      <c r="A7" s="1378"/>
      <c r="B7" s="1378"/>
      <c r="C7" s="1378"/>
      <c r="D7" s="1378"/>
      <c r="E7" s="1378"/>
      <c r="F7" s="1378"/>
      <c r="G7" s="1378"/>
      <c r="H7" s="1378"/>
      <c r="I7" s="1378"/>
      <c r="J7" s="1378"/>
      <c r="K7" s="1378"/>
      <c r="L7" s="1378"/>
      <c r="M7" s="326"/>
      <c r="N7" s="326"/>
      <c r="O7" s="1378"/>
      <c r="P7" s="1378"/>
      <c r="Q7" s="1383"/>
      <c r="R7" s="1383"/>
      <c r="S7" s="1383"/>
      <c r="T7" s="1378"/>
      <c r="U7" s="1378"/>
      <c r="V7" s="1378"/>
      <c r="W7" s="1381"/>
      <c r="X7" s="321"/>
      <c r="Y7" s="338"/>
      <c r="Z7" s="338"/>
      <c r="AA7" s="338"/>
      <c r="AB7" s="321"/>
      <c r="AC7" s="321"/>
    </row>
    <row r="8" spans="1:29" s="272" customFormat="1" ht="11.25">
      <c r="A8" s="267"/>
      <c r="B8" s="268" t="s">
        <v>746</v>
      </c>
      <c r="C8" s="269"/>
      <c r="D8" s="269"/>
      <c r="E8" s="269"/>
      <c r="F8" s="269"/>
      <c r="G8" s="270">
        <f aca="true" t="shared" si="0" ref="G8:L8">+G9+G39+G44</f>
        <v>868944.2370000001</v>
      </c>
      <c r="H8" s="270">
        <f t="shared" si="0"/>
        <v>166456.018</v>
      </c>
      <c r="I8" s="270">
        <f t="shared" si="0"/>
        <v>155866.78100000002</v>
      </c>
      <c r="J8" s="270">
        <f t="shared" si="0"/>
        <v>83281</v>
      </c>
      <c r="K8" s="270">
        <f t="shared" si="0"/>
        <v>30152</v>
      </c>
      <c r="L8" s="270">
        <f t="shared" si="0"/>
        <v>50300</v>
      </c>
      <c r="M8" s="327"/>
      <c r="N8" s="327"/>
      <c r="O8" s="270">
        <f>+O9+O39+O44</f>
        <v>2829</v>
      </c>
      <c r="P8" s="270">
        <f>+P9+P39+P44</f>
        <v>0</v>
      </c>
      <c r="Q8" s="271">
        <f>+R8+S8+T8+U8</f>
        <v>102950</v>
      </c>
      <c r="R8" s="271">
        <f>+R9+R39+R44</f>
        <v>12700</v>
      </c>
      <c r="S8" s="271">
        <f>+S9+S39+S44</f>
        <v>63750</v>
      </c>
      <c r="T8" s="271">
        <f>+T9+T39+T44</f>
        <v>26500</v>
      </c>
      <c r="U8" s="270">
        <v>0</v>
      </c>
      <c r="V8" s="270"/>
      <c r="W8" s="270"/>
      <c r="X8" s="316"/>
      <c r="Y8" s="339"/>
      <c r="Z8" s="339"/>
      <c r="AA8" s="339"/>
      <c r="AB8" s="316"/>
      <c r="AC8" s="316"/>
    </row>
    <row r="9" spans="1:29" s="277" customFormat="1" ht="18" customHeight="1">
      <c r="A9" s="273" t="s">
        <v>486</v>
      </c>
      <c r="B9" s="274" t="s">
        <v>961</v>
      </c>
      <c r="C9" s="275"/>
      <c r="D9" s="275"/>
      <c r="E9" s="275"/>
      <c r="F9" s="275"/>
      <c r="G9" s="276">
        <f aca="true" t="shared" si="1" ref="G9:L9">+G10+G34+G36</f>
        <v>868944.2370000001</v>
      </c>
      <c r="H9" s="276">
        <f t="shared" si="1"/>
        <v>166456.018</v>
      </c>
      <c r="I9" s="276">
        <f t="shared" si="1"/>
        <v>149426.78100000002</v>
      </c>
      <c r="J9" s="276">
        <f t="shared" si="1"/>
        <v>76841</v>
      </c>
      <c r="K9" s="276">
        <f t="shared" si="1"/>
        <v>27612</v>
      </c>
      <c r="L9" s="276">
        <f t="shared" si="1"/>
        <v>46400</v>
      </c>
      <c r="M9" s="327"/>
      <c r="N9" s="327"/>
      <c r="O9" s="276">
        <f>+O10+O34+O36</f>
        <v>2829</v>
      </c>
      <c r="P9" s="276">
        <f>+P10+P34+P36</f>
        <v>0</v>
      </c>
      <c r="Q9" s="262">
        <f>+R9+S9+T9+U9</f>
        <v>93870</v>
      </c>
      <c r="R9" s="262">
        <f>+R10+R34+R36</f>
        <v>10120</v>
      </c>
      <c r="S9" s="262">
        <f>+S10+S34+S36</f>
        <v>57250</v>
      </c>
      <c r="T9" s="262">
        <f>+T10+T34+T36</f>
        <v>26500</v>
      </c>
      <c r="U9" s="276">
        <v>0</v>
      </c>
      <c r="V9" s="276"/>
      <c r="W9" s="276"/>
      <c r="X9" s="322" t="s">
        <v>894</v>
      </c>
      <c r="Y9" s="340"/>
      <c r="Z9" s="340"/>
      <c r="AA9" s="340"/>
      <c r="AB9" s="322"/>
      <c r="AC9" s="322"/>
    </row>
    <row r="10" spans="1:29" s="272" customFormat="1" ht="18.75" customHeight="1">
      <c r="A10" s="278">
        <v>1</v>
      </c>
      <c r="B10" s="279" t="s">
        <v>812</v>
      </c>
      <c r="C10" s="280"/>
      <c r="D10" s="280"/>
      <c r="E10" s="280"/>
      <c r="F10" s="280"/>
      <c r="G10" s="281">
        <f aca="true" t="shared" si="2" ref="G10:L10">+G11+G18+G22+G26+G29</f>
        <v>859039.908</v>
      </c>
      <c r="H10" s="281">
        <f t="shared" si="2"/>
        <v>157259.486</v>
      </c>
      <c r="I10" s="281">
        <f t="shared" si="2"/>
        <v>135514.78100000002</v>
      </c>
      <c r="J10" s="281">
        <f t="shared" si="2"/>
        <v>67929</v>
      </c>
      <c r="K10" s="281">
        <f t="shared" si="2"/>
        <v>23700</v>
      </c>
      <c r="L10" s="281">
        <f t="shared" si="2"/>
        <v>41400</v>
      </c>
      <c r="M10" s="328"/>
      <c r="N10" s="328"/>
      <c r="O10" s="281">
        <f>+O11+O18+O22+O26+O29</f>
        <v>2829</v>
      </c>
      <c r="P10" s="281">
        <f>+P11+P18+P22+P26+P29</f>
        <v>0</v>
      </c>
      <c r="Q10" s="265">
        <f>+R10+S10+T10+U10</f>
        <v>88870</v>
      </c>
      <c r="R10" s="282">
        <f>+R11+R18+R22+R26+R29</f>
        <v>10120</v>
      </c>
      <c r="S10" s="282">
        <f>+S11+S18+S22+S26+S29</f>
        <v>52250</v>
      </c>
      <c r="T10" s="282">
        <f>+T11+T18+T22+T26+T29</f>
        <v>26500</v>
      </c>
      <c r="U10" s="281">
        <v>0</v>
      </c>
      <c r="V10" s="281"/>
      <c r="W10" s="281"/>
      <c r="X10" s="316"/>
      <c r="Y10" s="339"/>
      <c r="Z10" s="339"/>
      <c r="AA10" s="339"/>
      <c r="AB10" s="316"/>
      <c r="AC10" s="316"/>
    </row>
    <row r="11" spans="1:29" s="277" customFormat="1" ht="18" customHeight="1">
      <c r="A11" s="283" t="s">
        <v>962</v>
      </c>
      <c r="B11" s="284" t="s">
        <v>668</v>
      </c>
      <c r="C11" s="285"/>
      <c r="D11" s="285"/>
      <c r="E11" s="285"/>
      <c r="F11" s="285"/>
      <c r="G11" s="286">
        <f aca="true" t="shared" si="3" ref="G11:P11">SUM(G12:G17)</f>
        <v>82748.4</v>
      </c>
      <c r="H11" s="286">
        <f t="shared" si="3"/>
        <v>73085.486</v>
      </c>
      <c r="I11" s="286">
        <f t="shared" si="3"/>
        <v>69925.781</v>
      </c>
      <c r="J11" s="286">
        <f t="shared" si="3"/>
        <v>15800</v>
      </c>
      <c r="K11" s="286">
        <f t="shared" si="3"/>
        <v>15800</v>
      </c>
      <c r="L11" s="286">
        <f t="shared" si="3"/>
        <v>0</v>
      </c>
      <c r="M11" s="329"/>
      <c r="N11" s="329"/>
      <c r="O11" s="286">
        <f t="shared" si="3"/>
        <v>0</v>
      </c>
      <c r="P11" s="286">
        <f t="shared" si="3"/>
        <v>0</v>
      </c>
      <c r="Q11" s="265">
        <f>+R11+S11+T11+U11</f>
        <v>2282</v>
      </c>
      <c r="R11" s="287">
        <f>SUM(R12:R17)</f>
        <v>2282</v>
      </c>
      <c r="S11" s="287">
        <f>SUM(S12:S17)</f>
        <v>0</v>
      </c>
      <c r="T11" s="287">
        <f>SUM(T12:T17)</f>
        <v>0</v>
      </c>
      <c r="U11" s="287">
        <f>SUM(U12:U17)</f>
        <v>0</v>
      </c>
      <c r="V11" s="286"/>
      <c r="W11" s="286"/>
      <c r="X11" s="322"/>
      <c r="Y11" s="340"/>
      <c r="Z11" s="340"/>
      <c r="AA11" s="340"/>
      <c r="AB11" s="322"/>
      <c r="AC11" s="322"/>
    </row>
    <row r="12" spans="1:29" s="272" customFormat="1" ht="33.75">
      <c r="A12" s="288" t="s">
        <v>815</v>
      </c>
      <c r="B12" s="289" t="s">
        <v>797</v>
      </c>
      <c r="C12" s="290"/>
      <c r="D12" s="290"/>
      <c r="E12" s="290"/>
      <c r="F12" s="290"/>
      <c r="G12" s="291"/>
      <c r="H12" s="292">
        <v>3999.637</v>
      </c>
      <c r="I12" s="261">
        <v>3991</v>
      </c>
      <c r="J12" s="291">
        <v>100</v>
      </c>
      <c r="K12" s="261">
        <v>100</v>
      </c>
      <c r="L12" s="261"/>
      <c r="M12" s="330"/>
      <c r="N12" s="330"/>
      <c r="O12" s="291"/>
      <c r="P12" s="291"/>
      <c r="Q12" s="265">
        <f aca="true" t="shared" si="4" ref="Q12:Q17">SUM(R12:U12)</f>
        <v>0</v>
      </c>
      <c r="R12" s="265"/>
      <c r="S12" s="265"/>
      <c r="T12" s="291"/>
      <c r="U12" s="291"/>
      <c r="V12" s="291"/>
      <c r="W12" s="291"/>
      <c r="X12" s="316"/>
      <c r="Y12" s="339"/>
      <c r="Z12" s="339"/>
      <c r="AA12" s="339"/>
      <c r="AB12" s="316"/>
      <c r="AC12" s="316"/>
    </row>
    <row r="13" spans="1:29" s="272" customFormat="1" ht="22.5">
      <c r="A13" s="288" t="s">
        <v>816</v>
      </c>
      <c r="B13" s="293" t="s">
        <v>798</v>
      </c>
      <c r="C13" s="290" t="s">
        <v>778</v>
      </c>
      <c r="D13" s="290" t="s">
        <v>803</v>
      </c>
      <c r="E13" s="290"/>
      <c r="F13" s="290" t="s">
        <v>804</v>
      </c>
      <c r="G13" s="261">
        <v>5943.2</v>
      </c>
      <c r="H13" s="261">
        <v>5087.666</v>
      </c>
      <c r="I13" s="261">
        <v>5046.842</v>
      </c>
      <c r="J13" s="291">
        <v>200</v>
      </c>
      <c r="K13" s="266">
        <v>200</v>
      </c>
      <c r="L13" s="266"/>
      <c r="M13" s="330"/>
      <c r="N13" s="330"/>
      <c r="O13" s="264"/>
      <c r="P13" s="264"/>
      <c r="Q13" s="265">
        <f t="shared" si="4"/>
        <v>41</v>
      </c>
      <c r="R13" s="294">
        <v>41</v>
      </c>
      <c r="S13" s="294"/>
      <c r="T13" s="264"/>
      <c r="U13" s="264"/>
      <c r="V13" s="261">
        <v>5087.666</v>
      </c>
      <c r="W13" s="291"/>
      <c r="X13" s="316"/>
      <c r="Y13" s="339"/>
      <c r="Z13" s="339"/>
      <c r="AA13" s="339"/>
      <c r="AB13" s="316"/>
      <c r="AC13" s="316"/>
    </row>
    <row r="14" spans="1:29" s="272" customFormat="1" ht="22.5">
      <c r="A14" s="288" t="s">
        <v>817</v>
      </c>
      <c r="B14" s="289" t="s">
        <v>818</v>
      </c>
      <c r="C14" s="263" t="s">
        <v>763</v>
      </c>
      <c r="D14" s="263" t="s">
        <v>770</v>
      </c>
      <c r="E14" s="263"/>
      <c r="F14" s="263" t="s">
        <v>785</v>
      </c>
      <c r="G14" s="261">
        <v>8569.2</v>
      </c>
      <c r="H14" s="261">
        <v>7577.535</v>
      </c>
      <c r="I14" s="261">
        <v>7458</v>
      </c>
      <c r="J14" s="291">
        <v>1000</v>
      </c>
      <c r="K14" s="261">
        <v>1000</v>
      </c>
      <c r="L14" s="261"/>
      <c r="M14" s="330"/>
      <c r="N14" s="330"/>
      <c r="O14" s="291"/>
      <c r="P14" s="291"/>
      <c r="Q14" s="265">
        <f t="shared" si="4"/>
        <v>120</v>
      </c>
      <c r="R14" s="265">
        <v>120</v>
      </c>
      <c r="S14" s="265"/>
      <c r="T14" s="291"/>
      <c r="U14" s="291"/>
      <c r="V14" s="261">
        <v>7577.535</v>
      </c>
      <c r="W14" s="291"/>
      <c r="X14" s="316"/>
      <c r="Y14" s="339"/>
      <c r="Z14" s="339"/>
      <c r="AA14" s="339"/>
      <c r="AB14" s="316"/>
      <c r="AC14" s="316"/>
    </row>
    <row r="15" spans="1:29" s="272" customFormat="1" ht="33.75">
      <c r="A15" s="288" t="s">
        <v>819</v>
      </c>
      <c r="B15" s="295" t="s">
        <v>820</v>
      </c>
      <c r="C15" s="263" t="s">
        <v>762</v>
      </c>
      <c r="D15" s="263" t="s">
        <v>769</v>
      </c>
      <c r="E15" s="263"/>
      <c r="F15" s="263" t="s">
        <v>784</v>
      </c>
      <c r="G15" s="261">
        <v>31484</v>
      </c>
      <c r="H15" s="261">
        <v>24466.568</v>
      </c>
      <c r="I15" s="261">
        <v>22169.549</v>
      </c>
      <c r="J15" s="291">
        <v>1500</v>
      </c>
      <c r="K15" s="261">
        <v>1500</v>
      </c>
      <c r="L15" s="261"/>
      <c r="M15" s="330"/>
      <c r="N15" s="330"/>
      <c r="O15" s="296"/>
      <c r="P15" s="296"/>
      <c r="Q15" s="265">
        <f t="shared" si="4"/>
        <v>2121</v>
      </c>
      <c r="R15" s="265">
        <v>2121</v>
      </c>
      <c r="S15" s="265"/>
      <c r="T15" s="296"/>
      <c r="U15" s="296"/>
      <c r="V15" s="291"/>
      <c r="W15" s="291"/>
      <c r="X15" s="316"/>
      <c r="Y15" s="339"/>
      <c r="Z15" s="339"/>
      <c r="AA15" s="339"/>
      <c r="AB15" s="316"/>
      <c r="AC15" s="316"/>
    </row>
    <row r="16" spans="1:29" s="272" customFormat="1" ht="22.5">
      <c r="A16" s="288" t="s">
        <v>821</v>
      </c>
      <c r="B16" s="295" t="s">
        <v>822</v>
      </c>
      <c r="C16" s="263" t="s">
        <v>764</v>
      </c>
      <c r="D16" s="263" t="s">
        <v>771</v>
      </c>
      <c r="E16" s="263"/>
      <c r="F16" s="263" t="s">
        <v>786</v>
      </c>
      <c r="G16" s="261">
        <v>21832</v>
      </c>
      <c r="H16" s="261">
        <v>18445</v>
      </c>
      <c r="I16" s="261">
        <v>18326.39</v>
      </c>
      <c r="J16" s="291">
        <v>8200</v>
      </c>
      <c r="K16" s="291">
        <v>8200</v>
      </c>
      <c r="L16" s="291"/>
      <c r="M16" s="331"/>
      <c r="N16" s="331"/>
      <c r="O16" s="296"/>
      <c r="P16" s="296"/>
      <c r="Q16" s="265">
        <f t="shared" si="4"/>
        <v>0</v>
      </c>
      <c r="R16" s="265"/>
      <c r="S16" s="297"/>
      <c r="T16" s="296"/>
      <c r="U16" s="296"/>
      <c r="V16" s="291"/>
      <c r="W16" s="291"/>
      <c r="X16" s="316"/>
      <c r="Y16" s="339"/>
      <c r="Z16" s="339"/>
      <c r="AA16" s="339"/>
      <c r="AB16" s="316"/>
      <c r="AC16" s="316"/>
    </row>
    <row r="17" spans="1:29" s="272" customFormat="1" ht="22.5">
      <c r="A17" s="288" t="s">
        <v>823</v>
      </c>
      <c r="B17" s="295" t="s">
        <v>824</v>
      </c>
      <c r="C17" s="263" t="s">
        <v>765</v>
      </c>
      <c r="D17" s="263" t="s">
        <v>772</v>
      </c>
      <c r="E17" s="263"/>
      <c r="F17" s="263" t="s">
        <v>786</v>
      </c>
      <c r="G17" s="261">
        <v>14920</v>
      </c>
      <c r="H17" s="261">
        <v>13509.08</v>
      </c>
      <c r="I17" s="261">
        <v>12934</v>
      </c>
      <c r="J17" s="291">
        <v>4800</v>
      </c>
      <c r="K17" s="291">
        <v>4800</v>
      </c>
      <c r="L17" s="291"/>
      <c r="M17" s="331"/>
      <c r="N17" s="331"/>
      <c r="O17" s="296"/>
      <c r="P17" s="296"/>
      <c r="Q17" s="265">
        <f t="shared" si="4"/>
        <v>0</v>
      </c>
      <c r="R17" s="265"/>
      <c r="S17" s="297"/>
      <c r="T17" s="296"/>
      <c r="U17" s="296"/>
      <c r="V17" s="291"/>
      <c r="W17" s="291"/>
      <c r="X17" s="316"/>
      <c r="Y17" s="339"/>
      <c r="Z17" s="339"/>
      <c r="AA17" s="339"/>
      <c r="AB17" s="316"/>
      <c r="AC17" s="316"/>
    </row>
    <row r="18" spans="1:29" s="272" customFormat="1" ht="18" customHeight="1">
      <c r="A18" s="298" t="s">
        <v>963</v>
      </c>
      <c r="B18" s="299" t="s">
        <v>660</v>
      </c>
      <c r="C18" s="300"/>
      <c r="D18" s="300"/>
      <c r="E18" s="300"/>
      <c r="F18" s="300"/>
      <c r="G18" s="301">
        <f aca="true" t="shared" si="5" ref="G18:L18">SUM(G19:G21)</f>
        <v>58201.1</v>
      </c>
      <c r="H18" s="301">
        <f t="shared" si="5"/>
        <v>28489</v>
      </c>
      <c r="I18" s="301">
        <f t="shared" si="5"/>
        <v>21429</v>
      </c>
      <c r="J18" s="301">
        <f t="shared" si="5"/>
        <v>10429</v>
      </c>
      <c r="K18" s="301">
        <f t="shared" si="5"/>
        <v>7600</v>
      </c>
      <c r="L18" s="301">
        <f t="shared" si="5"/>
        <v>0</v>
      </c>
      <c r="M18" s="329"/>
      <c r="N18" s="329"/>
      <c r="O18" s="301">
        <f>SUM(O19:O21)</f>
        <v>2829</v>
      </c>
      <c r="P18" s="301">
        <f>SUM(P19:P21)</f>
        <v>0</v>
      </c>
      <c r="Q18" s="265">
        <f>+R18+S18+T18+U18</f>
        <v>7838</v>
      </c>
      <c r="R18" s="302">
        <f>SUM(R19:R21)</f>
        <v>7838</v>
      </c>
      <c r="S18" s="302">
        <f>SUM(S19:S21)</f>
        <v>0</v>
      </c>
      <c r="T18" s="302">
        <f>SUM(T19:T21)</f>
        <v>0</v>
      </c>
      <c r="U18" s="302">
        <f>SUM(U19:U21)</f>
        <v>0</v>
      </c>
      <c r="V18" s="301"/>
      <c r="W18" s="301"/>
      <c r="X18" s="316"/>
      <c r="Y18" s="339"/>
      <c r="Z18" s="339"/>
      <c r="AA18" s="339"/>
      <c r="AB18" s="316"/>
      <c r="AC18" s="316"/>
    </row>
    <row r="19" spans="1:29" s="272" customFormat="1" ht="45">
      <c r="A19" s="288" t="s">
        <v>910</v>
      </c>
      <c r="B19" s="295" t="s">
        <v>825</v>
      </c>
      <c r="C19" s="263" t="s">
        <v>767</v>
      </c>
      <c r="D19" s="263" t="s">
        <v>964</v>
      </c>
      <c r="E19" s="263"/>
      <c r="F19" s="263" t="s">
        <v>788</v>
      </c>
      <c r="G19" s="261">
        <v>14953.1</v>
      </c>
      <c r="H19" s="261">
        <v>14253</v>
      </c>
      <c r="I19" s="261">
        <v>13600</v>
      </c>
      <c r="J19" s="291">
        <v>6600</v>
      </c>
      <c r="K19" s="291">
        <v>6600</v>
      </c>
      <c r="L19" s="291"/>
      <c r="M19" s="331"/>
      <c r="N19" s="331"/>
      <c r="O19" s="296"/>
      <c r="P19" s="296"/>
      <c r="Q19" s="265">
        <f>SUM(R19:U19)</f>
        <v>0</v>
      </c>
      <c r="R19" s="265"/>
      <c r="S19" s="297"/>
      <c r="T19" s="296"/>
      <c r="U19" s="296"/>
      <c r="V19" s="291"/>
      <c r="W19" s="291"/>
      <c r="X19" s="316"/>
      <c r="Y19" s="339"/>
      <c r="Z19" s="339"/>
      <c r="AA19" s="339"/>
      <c r="AB19" s="316"/>
      <c r="AC19" s="316"/>
    </row>
    <row r="20" spans="1:29" s="272" customFormat="1" ht="45">
      <c r="A20" s="288" t="s">
        <v>911</v>
      </c>
      <c r="B20" s="295" t="s">
        <v>799</v>
      </c>
      <c r="C20" s="263" t="s">
        <v>767</v>
      </c>
      <c r="D20" s="263" t="s">
        <v>965</v>
      </c>
      <c r="E20" s="263"/>
      <c r="F20" s="263" t="s">
        <v>806</v>
      </c>
      <c r="G20" s="261">
        <v>43248</v>
      </c>
      <c r="H20" s="261">
        <v>14236</v>
      </c>
      <c r="I20" s="261">
        <v>5000</v>
      </c>
      <c r="J20" s="291">
        <v>1000</v>
      </c>
      <c r="K20" s="291">
        <v>1000</v>
      </c>
      <c r="L20" s="291"/>
      <c r="M20" s="331"/>
      <c r="N20" s="331"/>
      <c r="O20" s="296"/>
      <c r="P20" s="296"/>
      <c r="Q20" s="265">
        <f>SUM(R20:U20)</f>
        <v>7838</v>
      </c>
      <c r="R20" s="265">
        <v>7838</v>
      </c>
      <c r="S20" s="297"/>
      <c r="T20" s="296"/>
      <c r="U20" s="296"/>
      <c r="V20" s="291"/>
      <c r="W20" s="291"/>
      <c r="X20" s="316"/>
      <c r="Y20" s="339"/>
      <c r="Z20" s="339"/>
      <c r="AA20" s="339"/>
      <c r="AB20" s="316"/>
      <c r="AC20" s="316"/>
    </row>
    <row r="21" spans="1:29" s="272" customFormat="1" ht="30" customHeight="1">
      <c r="A21" s="288" t="s">
        <v>966</v>
      </c>
      <c r="B21" s="295" t="s">
        <v>968</v>
      </c>
      <c r="C21" s="304" t="s">
        <v>969</v>
      </c>
      <c r="D21" s="304"/>
      <c r="E21" s="304"/>
      <c r="F21" s="304"/>
      <c r="G21" s="296"/>
      <c r="H21" s="296"/>
      <c r="I21" s="261">
        <v>2829</v>
      </c>
      <c r="J21" s="261">
        <v>2829</v>
      </c>
      <c r="K21" s="261"/>
      <c r="L21" s="261"/>
      <c r="M21" s="330"/>
      <c r="N21" s="330"/>
      <c r="O21" s="261">
        <v>2829</v>
      </c>
      <c r="P21" s="296"/>
      <c r="Q21" s="265">
        <f>SUM(R21:U21)</f>
        <v>0</v>
      </c>
      <c r="R21" s="265"/>
      <c r="S21" s="303"/>
      <c r="T21" s="296"/>
      <c r="U21" s="296"/>
      <c r="V21" s="291"/>
      <c r="W21" s="291"/>
      <c r="X21" s="316"/>
      <c r="Y21" s="339"/>
      <c r="Z21" s="339"/>
      <c r="AA21" s="339"/>
      <c r="AB21" s="316"/>
      <c r="AC21" s="316"/>
    </row>
    <row r="22" spans="1:29" s="272" customFormat="1" ht="18" customHeight="1">
      <c r="A22" s="298" t="s">
        <v>970</v>
      </c>
      <c r="B22" s="299" t="s">
        <v>971</v>
      </c>
      <c r="C22" s="300"/>
      <c r="D22" s="300"/>
      <c r="E22" s="300"/>
      <c r="F22" s="300"/>
      <c r="G22" s="301">
        <f aca="true" t="shared" si="6" ref="G22:P22">SUM(G23:G25)</f>
        <v>261926</v>
      </c>
      <c r="H22" s="301">
        <f t="shared" si="6"/>
        <v>50000</v>
      </c>
      <c r="I22" s="301">
        <f t="shared" si="6"/>
        <v>41540</v>
      </c>
      <c r="J22" s="301">
        <f t="shared" si="6"/>
        <v>41150</v>
      </c>
      <c r="K22" s="301">
        <f t="shared" si="6"/>
        <v>300</v>
      </c>
      <c r="L22" s="301">
        <f>SUM(L23:L25)</f>
        <v>40850</v>
      </c>
      <c r="M22" s="329"/>
      <c r="N22" s="329"/>
      <c r="O22" s="301">
        <f t="shared" si="6"/>
        <v>0</v>
      </c>
      <c r="P22" s="301">
        <f t="shared" si="6"/>
        <v>0</v>
      </c>
      <c r="Q22" s="265">
        <f>+R22+S22+T22+U22</f>
        <v>58550</v>
      </c>
      <c r="R22" s="302">
        <f>SUM(R23:R25)</f>
        <v>0</v>
      </c>
      <c r="S22" s="302">
        <f>SUM(S23:S25)</f>
        <v>38650</v>
      </c>
      <c r="T22" s="302">
        <f>SUM(T23:T25)</f>
        <v>19900</v>
      </c>
      <c r="U22" s="302">
        <f>SUM(U23:U25)</f>
        <v>0</v>
      </c>
      <c r="V22" s="301"/>
      <c r="W22" s="301"/>
      <c r="X22" s="316"/>
      <c r="Y22" s="339"/>
      <c r="Z22" s="339"/>
      <c r="AA22" s="339"/>
      <c r="AB22" s="316"/>
      <c r="AC22" s="316"/>
    </row>
    <row r="23" spans="1:29" s="272" customFormat="1" ht="45">
      <c r="A23" s="288" t="s">
        <v>907</v>
      </c>
      <c r="B23" s="295" t="s">
        <v>826</v>
      </c>
      <c r="C23" s="263" t="s">
        <v>762</v>
      </c>
      <c r="D23" s="263" t="s">
        <v>972</v>
      </c>
      <c r="E23" s="263">
        <f>1782+1338+928</f>
        <v>4048</v>
      </c>
      <c r="F23" s="263" t="s">
        <v>973</v>
      </c>
      <c r="G23" s="261">
        <v>86760</v>
      </c>
      <c r="H23" s="261">
        <v>15000</v>
      </c>
      <c r="I23" s="261">
        <v>12600</v>
      </c>
      <c r="J23" s="291">
        <v>12100</v>
      </c>
      <c r="K23" s="291">
        <v>100</v>
      </c>
      <c r="L23" s="291">
        <v>12000</v>
      </c>
      <c r="M23" s="331">
        <v>8000</v>
      </c>
      <c r="N23" s="331">
        <v>4000</v>
      </c>
      <c r="O23" s="296"/>
      <c r="P23" s="296"/>
      <c r="Q23" s="265">
        <f>SUM(R23:U23)</f>
        <v>1800</v>
      </c>
      <c r="R23" s="265"/>
      <c r="S23" s="265">
        <f>16500-15300</f>
        <v>1200</v>
      </c>
      <c r="T23" s="296">
        <f>+S23*0.5</f>
        <v>600</v>
      </c>
      <c r="U23" s="296"/>
      <c r="V23" s="291"/>
      <c r="W23" s="290" t="s">
        <v>974</v>
      </c>
      <c r="X23" s="316">
        <f>+Q23+J23</f>
        <v>13900</v>
      </c>
      <c r="Y23" s="341">
        <f>+X23/G23</f>
        <v>0.16021207929921624</v>
      </c>
      <c r="Z23" s="344">
        <f aca="true" t="shared" si="7" ref="Z23:AA25">+(M23+S23)/$G23</f>
        <v>0.10603964960811434</v>
      </c>
      <c r="AA23" s="344">
        <f t="shared" si="7"/>
        <v>0.05301982480405717</v>
      </c>
      <c r="AB23" s="323">
        <f aca="true" t="shared" si="8" ref="AB23:AC25">+(M23+S23)/($L23+$Q23)</f>
        <v>0.6666666666666666</v>
      </c>
      <c r="AC23" s="323">
        <f t="shared" si="8"/>
        <v>0.3333333333333333</v>
      </c>
    </row>
    <row r="24" spans="1:29" s="272" customFormat="1" ht="45">
      <c r="A24" s="288" t="s">
        <v>908</v>
      </c>
      <c r="B24" s="295" t="s">
        <v>827</v>
      </c>
      <c r="C24" s="263" t="s">
        <v>762</v>
      </c>
      <c r="D24" s="263" t="s">
        <v>975</v>
      </c>
      <c r="E24" s="263">
        <f>801+1040</f>
        <v>1841</v>
      </c>
      <c r="F24" s="263" t="s">
        <v>976</v>
      </c>
      <c r="G24" s="261">
        <v>36613</v>
      </c>
      <c r="H24" s="261">
        <v>13000</v>
      </c>
      <c r="I24" s="261">
        <v>10230</v>
      </c>
      <c r="J24" s="291">
        <v>10000</v>
      </c>
      <c r="K24" s="291">
        <v>100</v>
      </c>
      <c r="L24" s="291">
        <v>9900</v>
      </c>
      <c r="M24" s="331">
        <v>6500</v>
      </c>
      <c r="N24" s="331">
        <v>3400</v>
      </c>
      <c r="O24" s="296"/>
      <c r="P24" s="296"/>
      <c r="Q24" s="265">
        <f>SUM(R24:U24)</f>
        <v>19250</v>
      </c>
      <c r="R24" s="265"/>
      <c r="S24" s="265">
        <v>12450</v>
      </c>
      <c r="T24" s="296">
        <v>6800</v>
      </c>
      <c r="U24" s="296"/>
      <c r="V24" s="291"/>
      <c r="W24" s="290" t="s">
        <v>974</v>
      </c>
      <c r="X24" s="316">
        <f>+Q24+J24</f>
        <v>29250</v>
      </c>
      <c r="Y24" s="341">
        <f>+X24/G24</f>
        <v>0.7988965667932155</v>
      </c>
      <c r="Z24" s="344">
        <f t="shared" si="7"/>
        <v>0.5175757244694508</v>
      </c>
      <c r="AA24" s="344">
        <f t="shared" si="7"/>
        <v>0.27858957200994183</v>
      </c>
      <c r="AB24" s="323">
        <f t="shared" si="8"/>
        <v>0.6500857632933105</v>
      </c>
      <c r="AC24" s="323">
        <f t="shared" si="8"/>
        <v>0.34991423670668953</v>
      </c>
    </row>
    <row r="25" spans="1:29" s="272" customFormat="1" ht="45">
      <c r="A25" s="288" t="s">
        <v>909</v>
      </c>
      <c r="B25" s="295" t="s">
        <v>828</v>
      </c>
      <c r="C25" s="263" t="s">
        <v>774</v>
      </c>
      <c r="D25" s="263" t="s">
        <v>977</v>
      </c>
      <c r="E25" s="263">
        <f>1482+994+918+1130+1265+1279</f>
        <v>7068</v>
      </c>
      <c r="F25" s="263" t="s">
        <v>973</v>
      </c>
      <c r="G25" s="261">
        <v>138553</v>
      </c>
      <c r="H25" s="261">
        <v>22000</v>
      </c>
      <c r="I25" s="261">
        <v>18710</v>
      </c>
      <c r="J25" s="291">
        <f>SUM(K25:L25)</f>
        <v>19050</v>
      </c>
      <c r="K25" s="291">
        <v>100</v>
      </c>
      <c r="L25" s="291">
        <f>12000+6400+550</f>
        <v>18950</v>
      </c>
      <c r="M25" s="331">
        <f>12000+550</f>
        <v>12550</v>
      </c>
      <c r="N25" s="331">
        <v>6400</v>
      </c>
      <c r="O25" s="296"/>
      <c r="P25" s="296"/>
      <c r="Q25" s="265">
        <f>SUM(R25:U25)</f>
        <v>37500</v>
      </c>
      <c r="R25" s="265"/>
      <c r="S25" s="265">
        <v>25000</v>
      </c>
      <c r="T25" s="296">
        <f>+S25*0.5</f>
        <v>12500</v>
      </c>
      <c r="U25" s="296"/>
      <c r="V25" s="291"/>
      <c r="W25" s="290" t="s">
        <v>974</v>
      </c>
      <c r="X25" s="316">
        <f>+Q25+J25</f>
        <v>56550</v>
      </c>
      <c r="Y25" s="341">
        <f>+X25/G25</f>
        <v>0.4081470628568129</v>
      </c>
      <c r="Z25" s="344">
        <f t="shared" si="7"/>
        <v>0.2710154237006777</v>
      </c>
      <c r="AA25" s="344">
        <f t="shared" si="7"/>
        <v>0.13640989368689238</v>
      </c>
      <c r="AB25" s="323">
        <f t="shared" si="8"/>
        <v>0.6651904340124003</v>
      </c>
      <c r="AC25" s="323">
        <f t="shared" si="8"/>
        <v>0.33480956598759964</v>
      </c>
    </row>
    <row r="26" spans="1:29" s="272" customFormat="1" ht="18" customHeight="1">
      <c r="A26" s="298" t="s">
        <v>978</v>
      </c>
      <c r="B26" s="299" t="s">
        <v>979</v>
      </c>
      <c r="C26" s="300"/>
      <c r="D26" s="300"/>
      <c r="E26" s="300"/>
      <c r="F26" s="300"/>
      <c r="G26" s="301">
        <f aca="true" t="shared" si="9" ref="G26:P26">SUM(G27:G28)</f>
        <v>225281.584</v>
      </c>
      <c r="H26" s="301">
        <f t="shared" si="9"/>
        <v>2507</v>
      </c>
      <c r="I26" s="301">
        <f t="shared" si="9"/>
        <v>1160</v>
      </c>
      <c r="J26" s="301">
        <f t="shared" si="9"/>
        <v>550</v>
      </c>
      <c r="K26" s="301">
        <f t="shared" si="9"/>
        <v>0</v>
      </c>
      <c r="L26" s="301">
        <f t="shared" si="9"/>
        <v>550</v>
      </c>
      <c r="M26" s="329"/>
      <c r="N26" s="329"/>
      <c r="O26" s="301">
        <f t="shared" si="9"/>
        <v>0</v>
      </c>
      <c r="P26" s="301">
        <f t="shared" si="9"/>
        <v>0</v>
      </c>
      <c r="Q26" s="265">
        <f>+R26+S26+T26+U26</f>
        <v>19650</v>
      </c>
      <c r="R26" s="302">
        <f>SUM(R27:R28)</f>
        <v>0</v>
      </c>
      <c r="S26" s="302">
        <f>SUM(S27:S28)</f>
        <v>13050</v>
      </c>
      <c r="T26" s="302">
        <f>SUM(T27:T28)</f>
        <v>6600</v>
      </c>
      <c r="U26" s="302">
        <f>SUM(U27:U28)</f>
        <v>0</v>
      </c>
      <c r="V26" s="301"/>
      <c r="W26" s="301"/>
      <c r="X26" s="316"/>
      <c r="Y26" s="339"/>
      <c r="Z26" s="339"/>
      <c r="AA26" s="339"/>
      <c r="AB26" s="316"/>
      <c r="AC26" s="316"/>
    </row>
    <row r="27" spans="1:29" s="272" customFormat="1" ht="33.75">
      <c r="A27" s="288" t="s">
        <v>913</v>
      </c>
      <c r="B27" s="295" t="s">
        <v>775</v>
      </c>
      <c r="C27" s="263" t="s">
        <v>778</v>
      </c>
      <c r="D27" s="263" t="s">
        <v>781</v>
      </c>
      <c r="E27" s="263">
        <v>1700</v>
      </c>
      <c r="F27" s="263" t="s">
        <v>973</v>
      </c>
      <c r="G27" s="261">
        <v>58517</v>
      </c>
      <c r="H27" s="261">
        <v>1033</v>
      </c>
      <c r="I27" s="261">
        <v>700</v>
      </c>
      <c r="J27" s="291">
        <v>300</v>
      </c>
      <c r="K27" s="296"/>
      <c r="L27" s="296">
        <v>300</v>
      </c>
      <c r="M27" s="332">
        <v>300</v>
      </c>
      <c r="N27" s="332"/>
      <c r="O27" s="296"/>
      <c r="P27" s="296"/>
      <c r="Q27" s="265">
        <f>SUM(R27:U27)</f>
        <v>13500</v>
      </c>
      <c r="R27" s="265"/>
      <c r="S27" s="265">
        <v>9000</v>
      </c>
      <c r="T27" s="296">
        <f>+S27*0.5</f>
        <v>4500</v>
      </c>
      <c r="U27" s="296"/>
      <c r="V27" s="291"/>
      <c r="W27" s="290" t="s">
        <v>980</v>
      </c>
      <c r="X27" s="316">
        <f>+Q27+J27</f>
        <v>13800</v>
      </c>
      <c r="Y27" s="341">
        <f>+X27/G27</f>
        <v>0.2358289044209375</v>
      </c>
      <c r="Z27" s="344">
        <f>+(M27+S27)/$G27</f>
        <v>0.15892817471845788</v>
      </c>
      <c r="AA27" s="344">
        <f>+(N27+T27)/$G27</f>
        <v>0.07690072970247962</v>
      </c>
      <c r="AB27" s="323">
        <f>+(M27+S27)/($L27+$Q27)</f>
        <v>0.6739130434782609</v>
      </c>
      <c r="AC27" s="323">
        <f>+(N27+T27)/($L27+$Q27)</f>
        <v>0.32608695652173914</v>
      </c>
    </row>
    <row r="28" spans="1:29" s="272" customFormat="1" ht="22.5">
      <c r="A28" s="288" t="s">
        <v>914</v>
      </c>
      <c r="B28" s="295" t="s">
        <v>997</v>
      </c>
      <c r="C28" s="263" t="s">
        <v>780</v>
      </c>
      <c r="D28" s="263" t="s">
        <v>783</v>
      </c>
      <c r="E28" s="263">
        <v>7462</v>
      </c>
      <c r="F28" s="263" t="s">
        <v>981</v>
      </c>
      <c r="G28" s="261">
        <v>166764.584</v>
      </c>
      <c r="H28" s="261">
        <v>1474</v>
      </c>
      <c r="I28" s="261">
        <v>460</v>
      </c>
      <c r="J28" s="291">
        <v>250</v>
      </c>
      <c r="K28" s="296"/>
      <c r="L28" s="296">
        <v>250</v>
      </c>
      <c r="M28" s="332">
        <v>250</v>
      </c>
      <c r="N28" s="332"/>
      <c r="O28" s="296"/>
      <c r="P28" s="296"/>
      <c r="Q28" s="265">
        <f>SUM(R28:U28)</f>
        <v>6150</v>
      </c>
      <c r="R28" s="265"/>
      <c r="S28" s="265">
        <f>22050-18000</f>
        <v>4050</v>
      </c>
      <c r="T28" s="296">
        <v>2100</v>
      </c>
      <c r="U28" s="296"/>
      <c r="V28" s="291"/>
      <c r="W28" s="290" t="s">
        <v>980</v>
      </c>
      <c r="X28" s="316">
        <f>+Q28+J28</f>
        <v>6400</v>
      </c>
      <c r="Y28" s="341">
        <f>+X28/G28</f>
        <v>0.03837745309279817</v>
      </c>
      <c r="Z28" s="344">
        <f>+(M28+S28)/$G28</f>
        <v>0.025784851296723768</v>
      </c>
      <c r="AA28" s="344">
        <f>+(N28+T28)/$G28</f>
        <v>0.0125926017960744</v>
      </c>
      <c r="AB28" s="323">
        <f>+(M28+S28)/($L28+$Q28)</f>
        <v>0.671875</v>
      </c>
      <c r="AC28" s="323">
        <f>+(N28+T28)/($L28+$Q28)</f>
        <v>0.328125</v>
      </c>
    </row>
    <row r="29" spans="1:29" s="272" customFormat="1" ht="18" customHeight="1">
      <c r="A29" s="298" t="s">
        <v>982</v>
      </c>
      <c r="B29" s="299" t="s">
        <v>919</v>
      </c>
      <c r="C29" s="300"/>
      <c r="D29" s="300"/>
      <c r="E29" s="300"/>
      <c r="F29" s="300"/>
      <c r="G29" s="301">
        <f aca="true" t="shared" si="10" ref="G29:P29">SUM(G30:G33)</f>
        <v>230882.824</v>
      </c>
      <c r="H29" s="301">
        <f t="shared" si="10"/>
        <v>3178</v>
      </c>
      <c r="I29" s="301">
        <f t="shared" si="10"/>
        <v>1460</v>
      </c>
      <c r="J29" s="301">
        <f t="shared" si="10"/>
        <v>0</v>
      </c>
      <c r="K29" s="301">
        <f t="shared" si="10"/>
        <v>0</v>
      </c>
      <c r="L29" s="301">
        <f t="shared" si="10"/>
        <v>0</v>
      </c>
      <c r="M29" s="329"/>
      <c r="N29" s="329"/>
      <c r="O29" s="301">
        <f t="shared" si="10"/>
        <v>0</v>
      </c>
      <c r="P29" s="301">
        <f t="shared" si="10"/>
        <v>0</v>
      </c>
      <c r="Q29" s="265">
        <f>+R29+S29+T29+U29</f>
        <v>550</v>
      </c>
      <c r="R29" s="302">
        <f>SUM(R30:R33)</f>
        <v>0</v>
      </c>
      <c r="S29" s="302">
        <f>SUM(S30:S33)</f>
        <v>550</v>
      </c>
      <c r="T29" s="302">
        <f>SUM(T30:T33)</f>
        <v>0</v>
      </c>
      <c r="U29" s="302">
        <f>SUM(U30:U33)</f>
        <v>0</v>
      </c>
      <c r="V29" s="301"/>
      <c r="W29" s="301"/>
      <c r="X29" s="316"/>
      <c r="Y29" s="339"/>
      <c r="Z29" s="339"/>
      <c r="AA29" s="339"/>
      <c r="AB29" s="316"/>
      <c r="AC29" s="316"/>
    </row>
    <row r="30" spans="1:29" s="272" customFormat="1" ht="45">
      <c r="A30" s="288" t="s">
        <v>917</v>
      </c>
      <c r="B30" s="295" t="s">
        <v>776</v>
      </c>
      <c r="C30" s="263" t="s">
        <v>779</v>
      </c>
      <c r="D30" s="263" t="s">
        <v>782</v>
      </c>
      <c r="E30" s="263">
        <v>7805</v>
      </c>
      <c r="F30" s="263" t="s">
        <v>973</v>
      </c>
      <c r="G30" s="261">
        <v>96000</v>
      </c>
      <c r="H30" s="261">
        <v>1750</v>
      </c>
      <c r="I30" s="261">
        <v>1250</v>
      </c>
      <c r="J30" s="291"/>
      <c r="K30" s="296"/>
      <c r="L30" s="296"/>
      <c r="M30" s="332"/>
      <c r="N30" s="332"/>
      <c r="O30" s="296"/>
      <c r="P30" s="296"/>
      <c r="Q30" s="265">
        <f>SUM(R30:U30)</f>
        <v>550</v>
      </c>
      <c r="R30" s="265"/>
      <c r="S30" s="303">
        <v>550</v>
      </c>
      <c r="T30" s="296"/>
      <c r="U30" s="296"/>
      <c r="V30" s="291"/>
      <c r="W30" s="291"/>
      <c r="X30" s="316">
        <f>26500-T8</f>
        <v>0</v>
      </c>
      <c r="Y30" s="339"/>
      <c r="Z30" s="339"/>
      <c r="AA30" s="339"/>
      <c r="AB30" s="316"/>
      <c r="AC30" s="316"/>
    </row>
    <row r="31" spans="1:29" s="272" customFormat="1" ht="56.25">
      <c r="A31" s="288" t="s">
        <v>918</v>
      </c>
      <c r="B31" s="295" t="s">
        <v>790</v>
      </c>
      <c r="C31" s="263" t="s">
        <v>791</v>
      </c>
      <c r="D31" s="263" t="s">
        <v>792</v>
      </c>
      <c r="E31" s="263">
        <f>7500*0.7</f>
        <v>5250</v>
      </c>
      <c r="F31" s="263" t="s">
        <v>967</v>
      </c>
      <c r="G31" s="261">
        <v>134882.824</v>
      </c>
      <c r="H31" s="261">
        <v>1428</v>
      </c>
      <c r="I31" s="261">
        <v>210</v>
      </c>
      <c r="J31" s="291">
        <v>0</v>
      </c>
      <c r="K31" s="296"/>
      <c r="L31" s="296"/>
      <c r="M31" s="332"/>
      <c r="N31" s="332"/>
      <c r="O31" s="296"/>
      <c r="P31" s="296"/>
      <c r="Q31" s="265">
        <f>SUM(R31:U31)</f>
        <v>0</v>
      </c>
      <c r="R31" s="265"/>
      <c r="S31" s="303"/>
      <c r="T31" s="296"/>
      <c r="U31" s="296"/>
      <c r="V31" s="291"/>
      <c r="W31" s="291"/>
      <c r="X31" s="316"/>
      <c r="Y31" s="339"/>
      <c r="Z31" s="339"/>
      <c r="AA31" s="339"/>
      <c r="AB31" s="316"/>
      <c r="AC31" s="316"/>
    </row>
    <row r="32" spans="1:29" s="272" customFormat="1" ht="33.75">
      <c r="A32" s="288" t="s">
        <v>1025</v>
      </c>
      <c r="B32" s="295" t="s">
        <v>983</v>
      </c>
      <c r="C32" s="263" t="s">
        <v>778</v>
      </c>
      <c r="D32" s="304"/>
      <c r="E32" s="304"/>
      <c r="F32" s="263" t="s">
        <v>967</v>
      </c>
      <c r="G32" s="296"/>
      <c r="H32" s="296"/>
      <c r="I32" s="261">
        <v>0</v>
      </c>
      <c r="J32" s="291">
        <v>0</v>
      </c>
      <c r="K32" s="296"/>
      <c r="L32" s="296"/>
      <c r="M32" s="332"/>
      <c r="N32" s="332"/>
      <c r="O32" s="296"/>
      <c r="P32" s="296"/>
      <c r="Q32" s="265">
        <f>SUM(R32:U32)</f>
        <v>0</v>
      </c>
      <c r="R32" s="265"/>
      <c r="S32" s="265"/>
      <c r="T32" s="296"/>
      <c r="U32" s="296"/>
      <c r="V32" s="291"/>
      <c r="W32" s="291"/>
      <c r="X32" s="316"/>
      <c r="Y32" s="339"/>
      <c r="Z32" s="339"/>
      <c r="AA32" s="339"/>
      <c r="AB32" s="316"/>
      <c r="AC32" s="316"/>
    </row>
    <row r="33" spans="1:29" s="272" customFormat="1" ht="33.75">
      <c r="A33" s="288" t="s">
        <v>1026</v>
      </c>
      <c r="B33" s="295" t="s">
        <v>991</v>
      </c>
      <c r="C33" s="263" t="s">
        <v>762</v>
      </c>
      <c r="D33" s="304"/>
      <c r="E33" s="304"/>
      <c r="F33" s="263" t="s">
        <v>967</v>
      </c>
      <c r="G33" s="296"/>
      <c r="H33" s="296"/>
      <c r="I33" s="261">
        <v>0</v>
      </c>
      <c r="J33" s="291">
        <v>0</v>
      </c>
      <c r="K33" s="296"/>
      <c r="L33" s="296"/>
      <c r="M33" s="332"/>
      <c r="N33" s="332"/>
      <c r="O33" s="296"/>
      <c r="P33" s="296"/>
      <c r="Q33" s="265">
        <f>SUM(R33:U33)</f>
        <v>0</v>
      </c>
      <c r="R33" s="265"/>
      <c r="S33" s="265"/>
      <c r="T33" s="296"/>
      <c r="U33" s="296"/>
      <c r="V33" s="291"/>
      <c r="W33" s="291"/>
      <c r="X33" s="316"/>
      <c r="Y33" s="339"/>
      <c r="Z33" s="339"/>
      <c r="AA33" s="339"/>
      <c r="AB33" s="316"/>
      <c r="AC33" s="316"/>
    </row>
    <row r="34" spans="1:29" s="272" customFormat="1" ht="11.25">
      <c r="A34" s="278">
        <v>2</v>
      </c>
      <c r="B34" s="279" t="s">
        <v>829</v>
      </c>
      <c r="C34" s="263"/>
      <c r="D34" s="280"/>
      <c r="E34" s="280"/>
      <c r="F34" s="280"/>
      <c r="G34" s="281">
        <f aca="true" t="shared" si="11" ref="G34:P34">+G35</f>
        <v>5350.329</v>
      </c>
      <c r="H34" s="281">
        <f t="shared" si="11"/>
        <v>5000</v>
      </c>
      <c r="I34" s="281">
        <f t="shared" si="11"/>
        <v>4812</v>
      </c>
      <c r="J34" s="281">
        <f t="shared" si="11"/>
        <v>2312</v>
      </c>
      <c r="K34" s="281">
        <f t="shared" si="11"/>
        <v>2312</v>
      </c>
      <c r="L34" s="281">
        <f t="shared" si="11"/>
        <v>0</v>
      </c>
      <c r="M34" s="328"/>
      <c r="N34" s="328"/>
      <c r="O34" s="281">
        <f t="shared" si="11"/>
        <v>0</v>
      </c>
      <c r="P34" s="281">
        <f t="shared" si="11"/>
        <v>0</v>
      </c>
      <c r="Q34" s="265">
        <f>+R34+S34+T34+U34</f>
        <v>0</v>
      </c>
      <c r="R34" s="282">
        <f>+R35</f>
        <v>0</v>
      </c>
      <c r="S34" s="282">
        <f>+S35</f>
        <v>0</v>
      </c>
      <c r="T34" s="282">
        <f>+T35</f>
        <v>0</v>
      </c>
      <c r="U34" s="282">
        <f>+U35</f>
        <v>0</v>
      </c>
      <c r="V34" s="281"/>
      <c r="W34" s="281"/>
      <c r="X34" s="316"/>
      <c r="Y34" s="339"/>
      <c r="Z34" s="339"/>
      <c r="AA34" s="339"/>
      <c r="AB34" s="316"/>
      <c r="AC34" s="316"/>
    </row>
    <row r="35" spans="1:29" s="272" customFormat="1" ht="45">
      <c r="A35" s="288"/>
      <c r="B35" s="295" t="s">
        <v>830</v>
      </c>
      <c r="C35" s="263" t="s">
        <v>768</v>
      </c>
      <c r="D35" s="263" t="s">
        <v>807</v>
      </c>
      <c r="E35" s="263"/>
      <c r="F35" s="263" t="s">
        <v>789</v>
      </c>
      <c r="G35" s="261">
        <v>5350.329</v>
      </c>
      <c r="H35" s="261">
        <v>5000</v>
      </c>
      <c r="I35" s="261">
        <v>4812</v>
      </c>
      <c r="J35" s="291">
        <v>2312</v>
      </c>
      <c r="K35" s="291">
        <v>2312</v>
      </c>
      <c r="L35" s="291"/>
      <c r="M35" s="331"/>
      <c r="N35" s="331"/>
      <c r="O35" s="296"/>
      <c r="P35" s="296"/>
      <c r="Q35" s="265">
        <f>SUM(R35:U35)</f>
        <v>0</v>
      </c>
      <c r="R35" s="265"/>
      <c r="S35" s="297"/>
      <c r="T35" s="296"/>
      <c r="U35" s="296"/>
      <c r="V35" s="291"/>
      <c r="W35" s="291"/>
      <c r="X35" s="316"/>
      <c r="Y35" s="339"/>
      <c r="Z35" s="339"/>
      <c r="AA35" s="339"/>
      <c r="AB35" s="316"/>
      <c r="AC35" s="316"/>
    </row>
    <row r="36" spans="1:29" s="272" customFormat="1" ht="22.5">
      <c r="A36" s="278">
        <v>3</v>
      </c>
      <c r="B36" s="279" t="s">
        <v>831</v>
      </c>
      <c r="C36" s="280"/>
      <c r="D36" s="280"/>
      <c r="E36" s="280"/>
      <c r="F36" s="280"/>
      <c r="G36" s="281">
        <f aca="true" t="shared" si="12" ref="G36:P36">SUM(G37:G38)</f>
        <v>4554</v>
      </c>
      <c r="H36" s="281">
        <f t="shared" si="12"/>
        <v>4196.532</v>
      </c>
      <c r="I36" s="281">
        <f t="shared" si="12"/>
        <v>9100</v>
      </c>
      <c r="J36" s="281">
        <f t="shared" si="12"/>
        <v>6600</v>
      </c>
      <c r="K36" s="281">
        <f t="shared" si="12"/>
        <v>1600</v>
      </c>
      <c r="L36" s="281">
        <f t="shared" si="12"/>
        <v>5000</v>
      </c>
      <c r="M36" s="328"/>
      <c r="N36" s="328"/>
      <c r="O36" s="281">
        <f t="shared" si="12"/>
        <v>0</v>
      </c>
      <c r="P36" s="281">
        <f t="shared" si="12"/>
        <v>0</v>
      </c>
      <c r="Q36" s="265">
        <f>+R36+S36+T36+U36</f>
        <v>5000</v>
      </c>
      <c r="R36" s="282">
        <f>SUM(R37:R38)</f>
        <v>0</v>
      </c>
      <c r="S36" s="282">
        <f>SUM(S37:S38)</f>
        <v>5000</v>
      </c>
      <c r="T36" s="282">
        <f>SUM(T37:T38)</f>
        <v>0</v>
      </c>
      <c r="U36" s="282">
        <f>SUM(U37:U38)</f>
        <v>0</v>
      </c>
      <c r="V36" s="281"/>
      <c r="W36" s="281"/>
      <c r="X36" s="316"/>
      <c r="Y36" s="339"/>
      <c r="Z36" s="339"/>
      <c r="AA36" s="339"/>
      <c r="AB36" s="316"/>
      <c r="AC36" s="316"/>
    </row>
    <row r="37" spans="1:29" s="272" customFormat="1" ht="83.25" customHeight="1">
      <c r="A37" s="305" t="s">
        <v>954</v>
      </c>
      <c r="B37" s="295" t="s">
        <v>984</v>
      </c>
      <c r="C37" s="304"/>
      <c r="D37" s="263" t="s">
        <v>773</v>
      </c>
      <c r="E37" s="263"/>
      <c r="F37" s="263" t="s">
        <v>789</v>
      </c>
      <c r="G37" s="261">
        <v>4554</v>
      </c>
      <c r="H37" s="261">
        <v>4196.532</v>
      </c>
      <c r="I37" s="261">
        <v>4100</v>
      </c>
      <c r="J37" s="291">
        <v>1600</v>
      </c>
      <c r="K37" s="291">
        <v>1600</v>
      </c>
      <c r="L37" s="291"/>
      <c r="M37" s="331"/>
      <c r="N37" s="331"/>
      <c r="O37" s="296"/>
      <c r="P37" s="296"/>
      <c r="Q37" s="265">
        <f>SUM(R37:U37)</f>
        <v>0</v>
      </c>
      <c r="R37" s="265"/>
      <c r="S37" s="297"/>
      <c r="T37" s="296"/>
      <c r="U37" s="296"/>
      <c r="V37" s="291"/>
      <c r="W37" s="291"/>
      <c r="X37" s="316"/>
      <c r="Y37" s="339"/>
      <c r="Z37" s="339"/>
      <c r="AA37" s="339"/>
      <c r="AB37" s="316"/>
      <c r="AC37" s="316"/>
    </row>
    <row r="38" spans="1:29" s="272" customFormat="1" ht="56.25">
      <c r="A38" s="305" t="s">
        <v>954</v>
      </c>
      <c r="B38" s="295" t="s">
        <v>481</v>
      </c>
      <c r="C38" s="304"/>
      <c r="D38" s="304"/>
      <c r="E38" s="304"/>
      <c r="F38" s="304"/>
      <c r="G38" s="296"/>
      <c r="H38" s="296"/>
      <c r="I38" s="261">
        <v>5000</v>
      </c>
      <c r="J38" s="291">
        <v>5000</v>
      </c>
      <c r="K38" s="306"/>
      <c r="L38" s="306">
        <v>5000</v>
      </c>
      <c r="M38" s="333"/>
      <c r="N38" s="333"/>
      <c r="O38" s="296"/>
      <c r="P38" s="296"/>
      <c r="Q38" s="265">
        <f>SUM(R38:U38)</f>
        <v>5000</v>
      </c>
      <c r="R38" s="307"/>
      <c r="S38" s="308">
        <v>5000</v>
      </c>
      <c r="T38" s="296"/>
      <c r="U38" s="296"/>
      <c r="V38" s="291"/>
      <c r="W38" s="291"/>
      <c r="X38" s="316"/>
      <c r="Y38" s="339"/>
      <c r="Z38" s="339"/>
      <c r="AA38" s="339"/>
      <c r="AB38" s="316"/>
      <c r="AC38" s="316"/>
    </row>
    <row r="39" spans="1:29" s="277" customFormat="1" ht="17.25" customHeight="1">
      <c r="A39" s="273" t="s">
        <v>484</v>
      </c>
      <c r="B39" s="274" t="s">
        <v>901</v>
      </c>
      <c r="C39" s="275"/>
      <c r="D39" s="275"/>
      <c r="E39" s="275"/>
      <c r="F39" s="275"/>
      <c r="G39" s="276">
        <f aca="true" t="shared" si="13" ref="G39:P39">+G40+G42</f>
        <v>0</v>
      </c>
      <c r="H39" s="276">
        <f t="shared" si="13"/>
        <v>0</v>
      </c>
      <c r="I39" s="276">
        <f t="shared" si="13"/>
        <v>3400</v>
      </c>
      <c r="J39" s="276">
        <f t="shared" si="13"/>
        <v>3400</v>
      </c>
      <c r="K39" s="276">
        <f t="shared" si="13"/>
        <v>1300</v>
      </c>
      <c r="L39" s="276">
        <f t="shared" si="13"/>
        <v>2100</v>
      </c>
      <c r="M39" s="327"/>
      <c r="N39" s="327"/>
      <c r="O39" s="276">
        <f t="shared" si="13"/>
        <v>0</v>
      </c>
      <c r="P39" s="276">
        <f t="shared" si="13"/>
        <v>0</v>
      </c>
      <c r="Q39" s="262">
        <f>+R39+S39+T39+U39</f>
        <v>4430</v>
      </c>
      <c r="R39" s="262">
        <f>+R40+R42</f>
        <v>930</v>
      </c>
      <c r="S39" s="343">
        <f>+S40+S42</f>
        <v>3500</v>
      </c>
      <c r="T39" s="262">
        <f>+T40+T42</f>
        <v>0</v>
      </c>
      <c r="U39" s="262">
        <f>+U40+U42</f>
        <v>0</v>
      </c>
      <c r="V39" s="276"/>
      <c r="W39" s="276"/>
      <c r="X39" s="322">
        <f>+S39+S44-1000</f>
        <v>5500</v>
      </c>
      <c r="Y39" s="340"/>
      <c r="Z39" s="340"/>
      <c r="AA39" s="340"/>
      <c r="AB39" s="322"/>
      <c r="AC39" s="322"/>
    </row>
    <row r="40" spans="1:29" s="272" customFormat="1" ht="22.5">
      <c r="A40" s="278">
        <v>1</v>
      </c>
      <c r="B40" s="279" t="s">
        <v>833</v>
      </c>
      <c r="C40" s="280"/>
      <c r="D40" s="280"/>
      <c r="E40" s="280"/>
      <c r="F40" s="280"/>
      <c r="G40" s="281">
        <f aca="true" t="shared" si="14" ref="G40:P40">+G41</f>
        <v>0</v>
      </c>
      <c r="H40" s="281">
        <f t="shared" si="14"/>
        <v>0</v>
      </c>
      <c r="I40" s="281">
        <f t="shared" si="14"/>
        <v>2300</v>
      </c>
      <c r="J40" s="281">
        <f t="shared" si="14"/>
        <v>2300</v>
      </c>
      <c r="K40" s="281">
        <f t="shared" si="14"/>
        <v>1300</v>
      </c>
      <c r="L40" s="281">
        <f t="shared" si="14"/>
        <v>1000</v>
      </c>
      <c r="M40" s="328"/>
      <c r="N40" s="328"/>
      <c r="O40" s="281">
        <f t="shared" si="14"/>
        <v>0</v>
      </c>
      <c r="P40" s="281">
        <f t="shared" si="14"/>
        <v>0</v>
      </c>
      <c r="Q40" s="262">
        <f>+R40+S40+T40+U40</f>
        <v>1600</v>
      </c>
      <c r="R40" s="282">
        <f>+R41</f>
        <v>600</v>
      </c>
      <c r="S40" s="282">
        <f>+S41</f>
        <v>1000</v>
      </c>
      <c r="T40" s="282">
        <f>+T41</f>
        <v>0</v>
      </c>
      <c r="U40" s="282">
        <f>+U41</f>
        <v>0</v>
      </c>
      <c r="V40" s="281"/>
      <c r="W40" s="281"/>
      <c r="X40" s="316"/>
      <c r="Y40" s="339"/>
      <c r="Z40" s="339"/>
      <c r="AA40" s="339"/>
      <c r="AB40" s="316"/>
      <c r="AC40" s="316"/>
    </row>
    <row r="41" spans="1:29" s="272" customFormat="1" ht="22.5">
      <c r="A41" s="288"/>
      <c r="B41" s="295" t="s">
        <v>482</v>
      </c>
      <c r="C41" s="304"/>
      <c r="D41" s="304"/>
      <c r="E41" s="304"/>
      <c r="F41" s="304"/>
      <c r="G41" s="296"/>
      <c r="H41" s="296"/>
      <c r="I41" s="261">
        <v>2300</v>
      </c>
      <c r="J41" s="291">
        <v>2300</v>
      </c>
      <c r="K41" s="306">
        <v>1300</v>
      </c>
      <c r="L41" s="306">
        <v>1000</v>
      </c>
      <c r="M41" s="333"/>
      <c r="N41" s="333"/>
      <c r="O41" s="296"/>
      <c r="P41" s="296"/>
      <c r="Q41" s="265">
        <f>SUM(R41:U41)</f>
        <v>1600</v>
      </c>
      <c r="R41" s="307">
        <v>600</v>
      </c>
      <c r="S41" s="308">
        <v>1000</v>
      </c>
      <c r="T41" s="296"/>
      <c r="U41" s="296"/>
      <c r="V41" s="291"/>
      <c r="W41" s="291"/>
      <c r="X41" s="316"/>
      <c r="Y41" s="339"/>
      <c r="Z41" s="339"/>
      <c r="AA41" s="339"/>
      <c r="AB41" s="316"/>
      <c r="AC41" s="316"/>
    </row>
    <row r="42" spans="1:29" s="272" customFormat="1" ht="33.75">
      <c r="A42" s="278">
        <v>2</v>
      </c>
      <c r="B42" s="279" t="s">
        <v>834</v>
      </c>
      <c r="C42" s="280"/>
      <c r="D42" s="280"/>
      <c r="E42" s="280"/>
      <c r="F42" s="280"/>
      <c r="G42" s="281">
        <f aca="true" t="shared" si="15" ref="G42:P42">+G43</f>
        <v>0</v>
      </c>
      <c r="H42" s="281">
        <f t="shared" si="15"/>
        <v>0</v>
      </c>
      <c r="I42" s="281">
        <f t="shared" si="15"/>
        <v>1100</v>
      </c>
      <c r="J42" s="281">
        <f t="shared" si="15"/>
        <v>1100</v>
      </c>
      <c r="K42" s="281">
        <f t="shared" si="15"/>
        <v>0</v>
      </c>
      <c r="L42" s="281">
        <f t="shared" si="15"/>
        <v>1100</v>
      </c>
      <c r="M42" s="328"/>
      <c r="N42" s="328"/>
      <c r="O42" s="281">
        <f t="shared" si="15"/>
        <v>0</v>
      </c>
      <c r="P42" s="281">
        <f t="shared" si="15"/>
        <v>0</v>
      </c>
      <c r="Q42" s="262">
        <f>+R42+S42+T42+U42</f>
        <v>2830</v>
      </c>
      <c r="R42" s="282">
        <f>+R43</f>
        <v>330</v>
      </c>
      <c r="S42" s="282">
        <f>+S43</f>
        <v>2500</v>
      </c>
      <c r="T42" s="282">
        <f>+T43</f>
        <v>0</v>
      </c>
      <c r="U42" s="282">
        <f>+U43</f>
        <v>0</v>
      </c>
      <c r="V42" s="291"/>
      <c r="W42" s="291"/>
      <c r="X42" s="316"/>
      <c r="Y42" s="339"/>
      <c r="Z42" s="339"/>
      <c r="AA42" s="339"/>
      <c r="AB42" s="316"/>
      <c r="AC42" s="316"/>
    </row>
    <row r="43" spans="1:29" s="272" customFormat="1" ht="22.5">
      <c r="A43" s="288"/>
      <c r="B43" s="289" t="s">
        <v>835</v>
      </c>
      <c r="C43" s="290"/>
      <c r="D43" s="290"/>
      <c r="E43" s="290"/>
      <c r="F43" s="290"/>
      <c r="G43" s="291"/>
      <c r="H43" s="291"/>
      <c r="I43" s="261">
        <v>1100</v>
      </c>
      <c r="J43" s="291">
        <v>1100</v>
      </c>
      <c r="K43" s="306"/>
      <c r="L43" s="306">
        <v>1100</v>
      </c>
      <c r="M43" s="333"/>
      <c r="N43" s="333"/>
      <c r="O43" s="291"/>
      <c r="P43" s="291"/>
      <c r="Q43" s="265">
        <f>SUM(R43:U43)</f>
        <v>2830</v>
      </c>
      <c r="R43" s="307">
        <v>330</v>
      </c>
      <c r="S43" s="308">
        <v>2500</v>
      </c>
      <c r="T43" s="291"/>
      <c r="U43" s="291"/>
      <c r="V43" s="291"/>
      <c r="W43" s="291"/>
      <c r="X43" s="316"/>
      <c r="Y43" s="339"/>
      <c r="Z43" s="339"/>
      <c r="AA43" s="339"/>
      <c r="AB43" s="316"/>
      <c r="AC43" s="316"/>
    </row>
    <row r="44" spans="1:29" s="277" customFormat="1" ht="31.5">
      <c r="A44" s="273" t="s">
        <v>496</v>
      </c>
      <c r="B44" s="274" t="s">
        <v>985</v>
      </c>
      <c r="C44" s="275"/>
      <c r="D44" s="275"/>
      <c r="E44" s="275"/>
      <c r="F44" s="275"/>
      <c r="G44" s="276">
        <f aca="true" t="shared" si="16" ref="G44:P44">+G45+G49+G51+G53</f>
        <v>0</v>
      </c>
      <c r="H44" s="276">
        <f t="shared" si="16"/>
        <v>0</v>
      </c>
      <c r="I44" s="276">
        <f t="shared" si="16"/>
        <v>3040</v>
      </c>
      <c r="J44" s="276">
        <f t="shared" si="16"/>
        <v>3040</v>
      </c>
      <c r="K44" s="276">
        <f t="shared" si="16"/>
        <v>1240</v>
      </c>
      <c r="L44" s="276">
        <f t="shared" si="16"/>
        <v>1800</v>
      </c>
      <c r="M44" s="327"/>
      <c r="N44" s="327"/>
      <c r="O44" s="276">
        <f t="shared" si="16"/>
        <v>0</v>
      </c>
      <c r="P44" s="276">
        <f t="shared" si="16"/>
        <v>0</v>
      </c>
      <c r="Q44" s="262">
        <f>+R44+S44+T44+U44</f>
        <v>4650</v>
      </c>
      <c r="R44" s="262">
        <f>+R45+R49+R51+R53</f>
        <v>1650</v>
      </c>
      <c r="S44" s="343">
        <f>+S45+S49+S51+S53</f>
        <v>3000</v>
      </c>
      <c r="T44" s="262">
        <f>+T45+T49+T51+T53</f>
        <v>0</v>
      </c>
      <c r="U44" s="262">
        <f>+U45+U49+U51+U53</f>
        <v>0</v>
      </c>
      <c r="V44" s="276"/>
      <c r="W44" s="276"/>
      <c r="X44" s="322"/>
      <c r="Y44" s="340"/>
      <c r="Z44" s="340"/>
      <c r="AA44" s="340"/>
      <c r="AB44" s="322"/>
      <c r="AC44" s="322"/>
    </row>
    <row r="45" spans="1:29" s="272" customFormat="1" ht="19.5" customHeight="1">
      <c r="A45" s="278">
        <v>1</v>
      </c>
      <c r="B45" s="279" t="s">
        <v>838</v>
      </c>
      <c r="C45" s="280"/>
      <c r="D45" s="280"/>
      <c r="E45" s="280"/>
      <c r="F45" s="280"/>
      <c r="G45" s="281">
        <f aca="true" t="shared" si="17" ref="G45:P45">+G46+G48</f>
        <v>0</v>
      </c>
      <c r="H45" s="281">
        <f t="shared" si="17"/>
        <v>0</v>
      </c>
      <c r="I45" s="281">
        <f t="shared" si="17"/>
        <v>1160</v>
      </c>
      <c r="J45" s="281">
        <f t="shared" si="17"/>
        <v>1160</v>
      </c>
      <c r="K45" s="281">
        <f t="shared" si="17"/>
        <v>360</v>
      </c>
      <c r="L45" s="281">
        <f t="shared" si="17"/>
        <v>800</v>
      </c>
      <c r="M45" s="328"/>
      <c r="N45" s="328"/>
      <c r="O45" s="281">
        <f t="shared" si="17"/>
        <v>0</v>
      </c>
      <c r="P45" s="281">
        <f t="shared" si="17"/>
        <v>0</v>
      </c>
      <c r="Q45" s="282">
        <f>+R45+S45+T45+U45</f>
        <v>2650</v>
      </c>
      <c r="R45" s="282">
        <f>SUM(R46:R48)</f>
        <v>850</v>
      </c>
      <c r="S45" s="282">
        <f>SUM(S46:S48)</f>
        <v>1800</v>
      </c>
      <c r="T45" s="282">
        <f>SUM(T46:T48)</f>
        <v>0</v>
      </c>
      <c r="U45" s="282">
        <f>SUM(U46:U48)</f>
        <v>0</v>
      </c>
      <c r="V45" s="291"/>
      <c r="W45" s="291"/>
      <c r="X45" s="316"/>
      <c r="Y45" s="339"/>
      <c r="Z45" s="339"/>
      <c r="AA45" s="339"/>
      <c r="AB45" s="316"/>
      <c r="AC45" s="316"/>
    </row>
    <row r="46" spans="1:29" s="272" customFormat="1" ht="24.75" customHeight="1" hidden="1">
      <c r="A46" s="305" t="s">
        <v>954</v>
      </c>
      <c r="B46" s="289" t="s">
        <v>795</v>
      </c>
      <c r="C46" s="290"/>
      <c r="D46" s="290"/>
      <c r="E46" s="290"/>
      <c r="F46" s="290"/>
      <c r="G46" s="291"/>
      <c r="H46" s="291"/>
      <c r="I46" s="261">
        <v>560</v>
      </c>
      <c r="J46" s="291">
        <v>560</v>
      </c>
      <c r="K46" s="291">
        <v>60</v>
      </c>
      <c r="L46" s="291">
        <v>500</v>
      </c>
      <c r="M46" s="331"/>
      <c r="N46" s="331"/>
      <c r="O46" s="291"/>
      <c r="P46" s="291"/>
      <c r="Q46" s="265">
        <f>SUM(R46:U46)</f>
        <v>1850</v>
      </c>
      <c r="R46" s="265">
        <v>350</v>
      </c>
      <c r="S46" s="297">
        <v>1500</v>
      </c>
      <c r="T46" s="291"/>
      <c r="U46" s="291"/>
      <c r="V46" s="291"/>
      <c r="W46" s="291"/>
      <c r="X46" s="316"/>
      <c r="Y46" s="339"/>
      <c r="Z46" s="339"/>
      <c r="AA46" s="339"/>
      <c r="AB46" s="316"/>
      <c r="AC46" s="316"/>
    </row>
    <row r="47" spans="1:29" s="272" customFormat="1" ht="24.75" customHeight="1" hidden="1">
      <c r="A47" s="305"/>
      <c r="B47" s="289" t="s">
        <v>988</v>
      </c>
      <c r="C47" s="290"/>
      <c r="D47" s="290"/>
      <c r="E47" s="290"/>
      <c r="F47" s="290"/>
      <c r="G47" s="291"/>
      <c r="H47" s="291"/>
      <c r="I47" s="261"/>
      <c r="J47" s="291"/>
      <c r="K47" s="291"/>
      <c r="L47" s="291"/>
      <c r="M47" s="331"/>
      <c r="N47" s="331"/>
      <c r="O47" s="291"/>
      <c r="P47" s="291"/>
      <c r="Q47" s="265">
        <f>SUM(R47:U47)</f>
        <v>300</v>
      </c>
      <c r="R47" s="265">
        <v>300</v>
      </c>
      <c r="S47" s="297"/>
      <c r="T47" s="291"/>
      <c r="U47" s="291"/>
      <c r="V47" s="291"/>
      <c r="W47" s="291"/>
      <c r="X47" s="316"/>
      <c r="Y47" s="339"/>
      <c r="Z47" s="339"/>
      <c r="AA47" s="339"/>
      <c r="AB47" s="316"/>
      <c r="AC47" s="316"/>
    </row>
    <row r="48" spans="1:29" s="272" customFormat="1" ht="24.75" customHeight="1" hidden="1">
      <c r="A48" s="305" t="s">
        <v>954</v>
      </c>
      <c r="B48" s="289" t="s">
        <v>839</v>
      </c>
      <c r="C48" s="290"/>
      <c r="D48" s="290"/>
      <c r="E48" s="290"/>
      <c r="F48" s="290"/>
      <c r="G48" s="291"/>
      <c r="H48" s="291"/>
      <c r="I48" s="261">
        <v>600</v>
      </c>
      <c r="J48" s="291">
        <v>600</v>
      </c>
      <c r="K48" s="291">
        <v>300</v>
      </c>
      <c r="L48" s="291">
        <v>300</v>
      </c>
      <c r="M48" s="331"/>
      <c r="N48" s="331"/>
      <c r="O48" s="291"/>
      <c r="P48" s="291"/>
      <c r="Q48" s="265">
        <f>SUM(R48:U48)</f>
        <v>500</v>
      </c>
      <c r="R48" s="265">
        <v>200</v>
      </c>
      <c r="S48" s="297">
        <v>300</v>
      </c>
      <c r="T48" s="291"/>
      <c r="U48" s="291"/>
      <c r="V48" s="291"/>
      <c r="W48" s="291"/>
      <c r="X48" s="316"/>
      <c r="Y48" s="339"/>
      <c r="Z48" s="339"/>
      <c r="AA48" s="339"/>
      <c r="AB48" s="316"/>
      <c r="AC48" s="316"/>
    </row>
    <row r="49" spans="1:29" s="272" customFormat="1" ht="19.5" customHeight="1">
      <c r="A49" s="278">
        <v>2</v>
      </c>
      <c r="B49" s="279" t="s">
        <v>920</v>
      </c>
      <c r="C49" s="280"/>
      <c r="D49" s="280"/>
      <c r="E49" s="280"/>
      <c r="F49" s="280"/>
      <c r="G49" s="281">
        <f aca="true" t="shared" si="18" ref="G49:P49">+G50</f>
        <v>0</v>
      </c>
      <c r="H49" s="281">
        <f t="shared" si="18"/>
        <v>0</v>
      </c>
      <c r="I49" s="281">
        <f t="shared" si="18"/>
        <v>200</v>
      </c>
      <c r="J49" s="281">
        <f t="shared" si="18"/>
        <v>200</v>
      </c>
      <c r="K49" s="281">
        <f t="shared" si="18"/>
        <v>0</v>
      </c>
      <c r="L49" s="281">
        <f t="shared" si="18"/>
        <v>200</v>
      </c>
      <c r="M49" s="328"/>
      <c r="N49" s="328"/>
      <c r="O49" s="281">
        <f t="shared" si="18"/>
        <v>0</v>
      </c>
      <c r="P49" s="281">
        <f t="shared" si="18"/>
        <v>0</v>
      </c>
      <c r="Q49" s="282">
        <f>+R49+S49+T49+U49</f>
        <v>300</v>
      </c>
      <c r="R49" s="282">
        <f>+R50</f>
        <v>0</v>
      </c>
      <c r="S49" s="282">
        <f>+S50</f>
        <v>300</v>
      </c>
      <c r="T49" s="282">
        <f>+T50</f>
        <v>0</v>
      </c>
      <c r="U49" s="282">
        <f>+U50</f>
        <v>0</v>
      </c>
      <c r="V49" s="291"/>
      <c r="W49" s="291"/>
      <c r="X49" s="316"/>
      <c r="Y49" s="339"/>
      <c r="Z49" s="339"/>
      <c r="AA49" s="339"/>
      <c r="AB49" s="316"/>
      <c r="AC49" s="316"/>
    </row>
    <row r="50" spans="1:29" s="272" customFormat="1" ht="18" customHeight="1" hidden="1">
      <c r="A50" s="305" t="s">
        <v>954</v>
      </c>
      <c r="B50" s="289" t="s">
        <v>986</v>
      </c>
      <c r="C50" s="290"/>
      <c r="D50" s="290"/>
      <c r="E50" s="290"/>
      <c r="F50" s="290"/>
      <c r="G50" s="291"/>
      <c r="H50" s="291"/>
      <c r="I50" s="261">
        <v>200</v>
      </c>
      <c r="J50" s="291">
        <v>200</v>
      </c>
      <c r="K50" s="291"/>
      <c r="L50" s="291">
        <v>200</v>
      </c>
      <c r="M50" s="331"/>
      <c r="N50" s="331"/>
      <c r="O50" s="291"/>
      <c r="P50" s="291"/>
      <c r="Q50" s="265">
        <f>SUM(R50:U50)</f>
        <v>300</v>
      </c>
      <c r="R50" s="265"/>
      <c r="S50" s="297">
        <v>300</v>
      </c>
      <c r="T50" s="291"/>
      <c r="U50" s="291"/>
      <c r="V50" s="291"/>
      <c r="W50" s="291"/>
      <c r="X50" s="316"/>
      <c r="Y50" s="339"/>
      <c r="Z50" s="339"/>
      <c r="AA50" s="339"/>
      <c r="AB50" s="316"/>
      <c r="AC50" s="316"/>
    </row>
    <row r="51" spans="1:29" s="272" customFormat="1" ht="19.5" customHeight="1">
      <c r="A51" s="278">
        <v>3</v>
      </c>
      <c r="B51" s="279" t="s">
        <v>841</v>
      </c>
      <c r="C51" s="280"/>
      <c r="D51" s="280"/>
      <c r="E51" s="280"/>
      <c r="F51" s="280"/>
      <c r="G51" s="281">
        <f aca="true" t="shared" si="19" ref="G51:P51">+G52</f>
        <v>0</v>
      </c>
      <c r="H51" s="281">
        <f t="shared" si="19"/>
        <v>0</v>
      </c>
      <c r="I51" s="281">
        <f t="shared" si="19"/>
        <v>480</v>
      </c>
      <c r="J51" s="281">
        <f t="shared" si="19"/>
        <v>480</v>
      </c>
      <c r="K51" s="281">
        <f t="shared" si="19"/>
        <v>80</v>
      </c>
      <c r="L51" s="281">
        <f t="shared" si="19"/>
        <v>400</v>
      </c>
      <c r="M51" s="328"/>
      <c r="N51" s="328"/>
      <c r="O51" s="281">
        <f t="shared" si="19"/>
        <v>0</v>
      </c>
      <c r="P51" s="281">
        <f t="shared" si="19"/>
        <v>0</v>
      </c>
      <c r="Q51" s="282">
        <f>+R51+S51+T51+U51</f>
        <v>350</v>
      </c>
      <c r="R51" s="282">
        <f>+R52</f>
        <v>150</v>
      </c>
      <c r="S51" s="282">
        <f>+S52</f>
        <v>200</v>
      </c>
      <c r="T51" s="282">
        <f>+T52</f>
        <v>0</v>
      </c>
      <c r="U51" s="282">
        <f>+U52</f>
        <v>0</v>
      </c>
      <c r="V51" s="291"/>
      <c r="W51" s="291"/>
      <c r="X51" s="316"/>
      <c r="Y51" s="339"/>
      <c r="Z51" s="339"/>
      <c r="AA51" s="339"/>
      <c r="AB51" s="316"/>
      <c r="AC51" s="316"/>
    </row>
    <row r="52" spans="1:29" s="272" customFormat="1" ht="22.5" hidden="1">
      <c r="A52" s="305" t="s">
        <v>954</v>
      </c>
      <c r="B52" s="289" t="s">
        <v>987</v>
      </c>
      <c r="C52" s="290"/>
      <c r="D52" s="290"/>
      <c r="E52" s="290"/>
      <c r="F52" s="290"/>
      <c r="G52" s="291"/>
      <c r="H52" s="291"/>
      <c r="I52" s="261">
        <v>480</v>
      </c>
      <c r="J52" s="291">
        <v>480</v>
      </c>
      <c r="K52" s="291">
        <v>80</v>
      </c>
      <c r="L52" s="291">
        <v>400</v>
      </c>
      <c r="M52" s="331"/>
      <c r="N52" s="331"/>
      <c r="O52" s="291"/>
      <c r="P52" s="291"/>
      <c r="Q52" s="265">
        <f>SUM(R52:U52)</f>
        <v>350</v>
      </c>
      <c r="R52" s="265">
        <v>150</v>
      </c>
      <c r="S52" s="297">
        <v>200</v>
      </c>
      <c r="T52" s="291"/>
      <c r="U52" s="291"/>
      <c r="V52" s="291"/>
      <c r="W52" s="291"/>
      <c r="X52" s="316"/>
      <c r="Y52" s="339"/>
      <c r="Z52" s="339"/>
      <c r="AA52" s="339"/>
      <c r="AB52" s="316"/>
      <c r="AC52" s="316"/>
    </row>
    <row r="53" spans="1:29" s="272" customFormat="1" ht="22.5">
      <c r="A53" s="278">
        <v>4</v>
      </c>
      <c r="B53" s="279" t="s">
        <v>843</v>
      </c>
      <c r="C53" s="280"/>
      <c r="D53" s="280"/>
      <c r="E53" s="280"/>
      <c r="F53" s="280"/>
      <c r="G53" s="281">
        <f aca="true" t="shared" si="20" ref="G53:P53">+G54+G55</f>
        <v>0</v>
      </c>
      <c r="H53" s="281">
        <f t="shared" si="20"/>
        <v>0</v>
      </c>
      <c r="I53" s="281">
        <f t="shared" si="20"/>
        <v>1200</v>
      </c>
      <c r="J53" s="281">
        <f t="shared" si="20"/>
        <v>1200</v>
      </c>
      <c r="K53" s="281">
        <f t="shared" si="20"/>
        <v>800</v>
      </c>
      <c r="L53" s="281">
        <f t="shared" si="20"/>
        <v>400</v>
      </c>
      <c r="M53" s="328"/>
      <c r="N53" s="328"/>
      <c r="O53" s="281">
        <f t="shared" si="20"/>
        <v>0</v>
      </c>
      <c r="P53" s="281">
        <f t="shared" si="20"/>
        <v>0</v>
      </c>
      <c r="Q53" s="282">
        <f>+R53+S53+T53+U53</f>
        <v>1350</v>
      </c>
      <c r="R53" s="282">
        <f>SUM(R54:R55)</f>
        <v>650</v>
      </c>
      <c r="S53" s="282">
        <f>SUM(S54:S55)</f>
        <v>700</v>
      </c>
      <c r="T53" s="282">
        <f>SUM(T54:T55)</f>
        <v>0</v>
      </c>
      <c r="U53" s="282">
        <f>SUM(U54:U55)</f>
        <v>0</v>
      </c>
      <c r="V53" s="281"/>
      <c r="W53" s="281"/>
      <c r="X53" s="316"/>
      <c r="Y53" s="339"/>
      <c r="Z53" s="339"/>
      <c r="AA53" s="339"/>
      <c r="AB53" s="316"/>
      <c r="AC53" s="316"/>
    </row>
    <row r="54" spans="1:29" s="272" customFormat="1" ht="22.5" hidden="1">
      <c r="A54" s="305" t="s">
        <v>954</v>
      </c>
      <c r="B54" s="289" t="s">
        <v>844</v>
      </c>
      <c r="C54" s="290"/>
      <c r="D54" s="290"/>
      <c r="E54" s="290"/>
      <c r="F54" s="290"/>
      <c r="G54" s="291"/>
      <c r="H54" s="291"/>
      <c r="I54" s="261">
        <v>800</v>
      </c>
      <c r="J54" s="291">
        <v>800</v>
      </c>
      <c r="K54" s="291">
        <v>800</v>
      </c>
      <c r="L54" s="291"/>
      <c r="M54" s="331"/>
      <c r="N54" s="331"/>
      <c r="O54" s="291"/>
      <c r="P54" s="291"/>
      <c r="Q54" s="265">
        <f>SUM(R54:U54)</f>
        <v>650</v>
      </c>
      <c r="R54" s="265">
        <v>650</v>
      </c>
      <c r="S54" s="297"/>
      <c r="T54" s="291"/>
      <c r="U54" s="291"/>
      <c r="V54" s="291"/>
      <c r="W54" s="291"/>
      <c r="X54" s="316"/>
      <c r="Y54" s="339"/>
      <c r="Z54" s="339"/>
      <c r="AA54" s="339"/>
      <c r="AB54" s="316"/>
      <c r="AC54" s="316"/>
    </row>
    <row r="55" spans="1:29" s="272" customFormat="1" ht="33.75" hidden="1">
      <c r="A55" s="309" t="s">
        <v>954</v>
      </c>
      <c r="B55" s="310" t="s">
        <v>921</v>
      </c>
      <c r="C55" s="311"/>
      <c r="D55" s="311"/>
      <c r="E55" s="311"/>
      <c r="F55" s="311"/>
      <c r="G55" s="312"/>
      <c r="H55" s="312"/>
      <c r="I55" s="313">
        <v>400</v>
      </c>
      <c r="J55" s="312">
        <v>400</v>
      </c>
      <c r="K55" s="312"/>
      <c r="L55" s="312">
        <v>400</v>
      </c>
      <c r="M55" s="334"/>
      <c r="N55" s="334"/>
      <c r="O55" s="312"/>
      <c r="P55" s="312"/>
      <c r="Q55" s="265">
        <f>SUM(R55:U55)</f>
        <v>700</v>
      </c>
      <c r="R55" s="314"/>
      <c r="S55" s="315">
        <v>700</v>
      </c>
      <c r="T55" s="312"/>
      <c r="U55" s="312"/>
      <c r="V55" s="312"/>
      <c r="W55" s="312"/>
      <c r="X55" s="316"/>
      <c r="Y55" s="339"/>
      <c r="Z55" s="339"/>
      <c r="AA55" s="339"/>
      <c r="AB55" s="316"/>
      <c r="AC55" s="316"/>
    </row>
    <row r="56" spans="4:29" s="272" customFormat="1" ht="11.25">
      <c r="D56" s="316"/>
      <c r="E56" s="316"/>
      <c r="F56" s="316"/>
      <c r="M56" s="335"/>
      <c r="N56" s="335"/>
      <c r="Q56" s="317"/>
      <c r="R56" s="317"/>
      <c r="S56" s="317"/>
      <c r="X56" s="316"/>
      <c r="Y56" s="339"/>
      <c r="Z56" s="339"/>
      <c r="AA56" s="339"/>
      <c r="AB56" s="316"/>
      <c r="AC56" s="316"/>
    </row>
    <row r="57" spans="4:29" s="272" customFormat="1" ht="11.25">
      <c r="D57" s="316"/>
      <c r="E57" s="316"/>
      <c r="F57" s="316"/>
      <c r="M57" s="335"/>
      <c r="N57" s="335"/>
      <c r="Q57" s="317"/>
      <c r="R57" s="317"/>
      <c r="S57" s="317"/>
      <c r="X57" s="316"/>
      <c r="Y57" s="339"/>
      <c r="Z57" s="339"/>
      <c r="AA57" s="339"/>
      <c r="AB57" s="316"/>
      <c r="AC57" s="316"/>
    </row>
    <row r="58" spans="4:29" s="272" customFormat="1" ht="11.25">
      <c r="D58" s="316"/>
      <c r="E58" s="316"/>
      <c r="F58" s="316"/>
      <c r="M58" s="335"/>
      <c r="N58" s="335"/>
      <c r="Q58" s="317"/>
      <c r="R58" s="317"/>
      <c r="S58" s="317"/>
      <c r="X58" s="316"/>
      <c r="Y58" s="339"/>
      <c r="Z58" s="339"/>
      <c r="AA58" s="339"/>
      <c r="AB58" s="316"/>
      <c r="AC58" s="316"/>
    </row>
    <row r="59" spans="4:29" s="272" customFormat="1" ht="11.25">
      <c r="D59" s="316"/>
      <c r="E59" s="316"/>
      <c r="F59" s="316"/>
      <c r="M59" s="335"/>
      <c r="N59" s="335"/>
      <c r="Q59" s="317"/>
      <c r="R59" s="317"/>
      <c r="S59" s="317"/>
      <c r="X59" s="316"/>
      <c r="Y59" s="339"/>
      <c r="Z59" s="339"/>
      <c r="AA59" s="339"/>
      <c r="AB59" s="316"/>
      <c r="AC59" s="316"/>
    </row>
    <row r="60" spans="4:29" s="272" customFormat="1" ht="11.25">
      <c r="D60" s="316"/>
      <c r="E60" s="316"/>
      <c r="F60" s="316"/>
      <c r="M60" s="335"/>
      <c r="N60" s="335"/>
      <c r="Q60" s="317"/>
      <c r="R60" s="317"/>
      <c r="S60" s="317"/>
      <c r="X60" s="316"/>
      <c r="Y60" s="339"/>
      <c r="Z60" s="339"/>
      <c r="AA60" s="339"/>
      <c r="AB60" s="316"/>
      <c r="AC60" s="316"/>
    </row>
    <row r="61" spans="4:29" s="272" customFormat="1" ht="11.25">
      <c r="D61" s="316"/>
      <c r="E61" s="316"/>
      <c r="F61" s="316"/>
      <c r="M61" s="335"/>
      <c r="N61" s="335"/>
      <c r="Q61" s="317"/>
      <c r="R61" s="317"/>
      <c r="S61" s="317"/>
      <c r="X61" s="316"/>
      <c r="Y61" s="339"/>
      <c r="Z61" s="339"/>
      <c r="AA61" s="339"/>
      <c r="AB61" s="316"/>
      <c r="AC61" s="316"/>
    </row>
    <row r="62" spans="4:29" s="272" customFormat="1" ht="11.25">
      <c r="D62" s="316"/>
      <c r="E62" s="316"/>
      <c r="F62" s="316"/>
      <c r="M62" s="335"/>
      <c r="N62" s="335"/>
      <c r="Q62" s="317"/>
      <c r="R62" s="317"/>
      <c r="S62" s="317"/>
      <c r="X62" s="316"/>
      <c r="Y62" s="339"/>
      <c r="Z62" s="339"/>
      <c r="AA62" s="339"/>
      <c r="AB62" s="316"/>
      <c r="AC62" s="316"/>
    </row>
    <row r="63" spans="4:29" s="272" customFormat="1" ht="11.25">
      <c r="D63" s="316"/>
      <c r="E63" s="316"/>
      <c r="F63" s="316"/>
      <c r="M63" s="335"/>
      <c r="N63" s="335"/>
      <c r="Q63" s="317"/>
      <c r="R63" s="317"/>
      <c r="S63" s="317"/>
      <c r="X63" s="316"/>
      <c r="Y63" s="339"/>
      <c r="Z63" s="339"/>
      <c r="AA63" s="339"/>
      <c r="AB63" s="316"/>
      <c r="AC63" s="316"/>
    </row>
    <row r="64" spans="4:29" s="272" customFormat="1" ht="11.25">
      <c r="D64" s="316"/>
      <c r="E64" s="316"/>
      <c r="F64" s="316"/>
      <c r="M64" s="335"/>
      <c r="N64" s="335"/>
      <c r="Q64" s="317"/>
      <c r="R64" s="317"/>
      <c r="S64" s="317"/>
      <c r="X64" s="316"/>
      <c r="Y64" s="339"/>
      <c r="Z64" s="339"/>
      <c r="AA64" s="339"/>
      <c r="AB64" s="316"/>
      <c r="AC64" s="316"/>
    </row>
    <row r="65" spans="4:29" s="272" customFormat="1" ht="11.25">
      <c r="D65" s="316"/>
      <c r="E65" s="316"/>
      <c r="F65" s="316"/>
      <c r="M65" s="335"/>
      <c r="N65" s="335"/>
      <c r="Q65" s="317"/>
      <c r="R65" s="317"/>
      <c r="S65" s="317"/>
      <c r="X65" s="316"/>
      <c r="Y65" s="339"/>
      <c r="Z65" s="339"/>
      <c r="AA65" s="339"/>
      <c r="AB65" s="316"/>
      <c r="AC65" s="316"/>
    </row>
    <row r="66" spans="4:29" s="272" customFormat="1" ht="11.25">
      <c r="D66" s="316"/>
      <c r="E66" s="316"/>
      <c r="F66" s="316"/>
      <c r="M66" s="335"/>
      <c r="N66" s="335"/>
      <c r="Q66" s="317"/>
      <c r="R66" s="317"/>
      <c r="S66" s="317"/>
      <c r="X66" s="316"/>
      <c r="Y66" s="339"/>
      <c r="Z66" s="339"/>
      <c r="AA66" s="339"/>
      <c r="AB66" s="316"/>
      <c r="AC66" s="316"/>
    </row>
    <row r="67" spans="4:29" s="272" customFormat="1" ht="11.25">
      <c r="D67" s="316"/>
      <c r="E67" s="316"/>
      <c r="F67" s="316"/>
      <c r="M67" s="335"/>
      <c r="N67" s="335"/>
      <c r="Q67" s="317"/>
      <c r="R67" s="317"/>
      <c r="S67" s="317"/>
      <c r="X67" s="316"/>
      <c r="Y67" s="339"/>
      <c r="Z67" s="339"/>
      <c r="AA67" s="339"/>
      <c r="AB67" s="316"/>
      <c r="AC67" s="316"/>
    </row>
    <row r="68" spans="4:29" s="272" customFormat="1" ht="11.25">
      <c r="D68" s="316"/>
      <c r="E68" s="316"/>
      <c r="F68" s="316"/>
      <c r="M68" s="335"/>
      <c r="N68" s="335"/>
      <c r="Q68" s="317"/>
      <c r="R68" s="317"/>
      <c r="S68" s="317"/>
      <c r="X68" s="316"/>
      <c r="Y68" s="339"/>
      <c r="Z68" s="339"/>
      <c r="AA68" s="339"/>
      <c r="AB68" s="316"/>
      <c r="AC68" s="316"/>
    </row>
    <row r="69" spans="4:29" s="272" customFormat="1" ht="11.25">
      <c r="D69" s="316"/>
      <c r="E69" s="316"/>
      <c r="F69" s="316"/>
      <c r="M69" s="335"/>
      <c r="N69" s="335"/>
      <c r="Q69" s="317"/>
      <c r="R69" s="317"/>
      <c r="S69" s="317"/>
      <c r="X69" s="316"/>
      <c r="Y69" s="339"/>
      <c r="Z69" s="339"/>
      <c r="AA69" s="339"/>
      <c r="AB69" s="316"/>
      <c r="AC69" s="316"/>
    </row>
    <row r="70" spans="4:29" s="272" customFormat="1" ht="11.25">
      <c r="D70" s="316"/>
      <c r="E70" s="316"/>
      <c r="F70" s="316"/>
      <c r="M70" s="335"/>
      <c r="N70" s="335"/>
      <c r="Q70" s="317"/>
      <c r="R70" s="317"/>
      <c r="S70" s="317"/>
      <c r="X70" s="316"/>
      <c r="Y70" s="339"/>
      <c r="Z70" s="339"/>
      <c r="AA70" s="339"/>
      <c r="AB70" s="316"/>
      <c r="AC70" s="316"/>
    </row>
    <row r="71" spans="4:29" s="272" customFormat="1" ht="11.25">
      <c r="D71" s="316"/>
      <c r="E71" s="316"/>
      <c r="F71" s="316"/>
      <c r="M71" s="335"/>
      <c r="N71" s="335"/>
      <c r="Q71" s="317"/>
      <c r="R71" s="317"/>
      <c r="S71" s="317"/>
      <c r="X71" s="316"/>
      <c r="Y71" s="339"/>
      <c r="Z71" s="339"/>
      <c r="AA71" s="339"/>
      <c r="AB71" s="316"/>
      <c r="AC71" s="316"/>
    </row>
    <row r="72" spans="4:29" s="272" customFormat="1" ht="11.25">
      <c r="D72" s="316"/>
      <c r="E72" s="316"/>
      <c r="F72" s="316"/>
      <c r="M72" s="335"/>
      <c r="N72" s="335"/>
      <c r="Q72" s="317"/>
      <c r="R72" s="317"/>
      <c r="S72" s="317"/>
      <c r="X72" s="316"/>
      <c r="Y72" s="339"/>
      <c r="Z72" s="339"/>
      <c r="AA72" s="339"/>
      <c r="AB72" s="316"/>
      <c r="AC72" s="316"/>
    </row>
    <row r="73" spans="4:29" s="272" customFormat="1" ht="11.25">
      <c r="D73" s="316"/>
      <c r="E73" s="316"/>
      <c r="F73" s="316"/>
      <c r="M73" s="335"/>
      <c r="N73" s="335"/>
      <c r="Q73" s="317"/>
      <c r="R73" s="317"/>
      <c r="S73" s="317"/>
      <c r="X73" s="316"/>
      <c r="Y73" s="339"/>
      <c r="Z73" s="339"/>
      <c r="AA73" s="339"/>
      <c r="AB73" s="316"/>
      <c r="AC73" s="316"/>
    </row>
    <row r="74" spans="4:29" s="272" customFormat="1" ht="11.25">
      <c r="D74" s="316"/>
      <c r="E74" s="316"/>
      <c r="F74" s="316"/>
      <c r="M74" s="335"/>
      <c r="N74" s="335"/>
      <c r="Q74" s="317"/>
      <c r="R74" s="317"/>
      <c r="S74" s="317"/>
      <c r="X74" s="316"/>
      <c r="Y74" s="339"/>
      <c r="Z74" s="339"/>
      <c r="AA74" s="339"/>
      <c r="AB74" s="316"/>
      <c r="AC74" s="316"/>
    </row>
    <row r="75" spans="4:29" s="272" customFormat="1" ht="11.25">
      <c r="D75" s="316"/>
      <c r="E75" s="316"/>
      <c r="F75" s="316"/>
      <c r="M75" s="335"/>
      <c r="N75" s="335"/>
      <c r="Q75" s="317"/>
      <c r="R75" s="317"/>
      <c r="S75" s="317"/>
      <c r="X75" s="316"/>
      <c r="Y75" s="339"/>
      <c r="Z75" s="339"/>
      <c r="AA75" s="339"/>
      <c r="AB75" s="316"/>
      <c r="AC75" s="316"/>
    </row>
    <row r="76" spans="4:29" s="272" customFormat="1" ht="11.25">
      <c r="D76" s="316"/>
      <c r="E76" s="316"/>
      <c r="F76" s="316"/>
      <c r="M76" s="335"/>
      <c r="N76" s="335"/>
      <c r="Q76" s="317"/>
      <c r="R76" s="317"/>
      <c r="S76" s="317"/>
      <c r="X76" s="316"/>
      <c r="Y76" s="339"/>
      <c r="Z76" s="339"/>
      <c r="AA76" s="339"/>
      <c r="AB76" s="316"/>
      <c r="AC76" s="316"/>
    </row>
    <row r="77" spans="4:29" s="272" customFormat="1" ht="11.25">
      <c r="D77" s="316"/>
      <c r="E77" s="316"/>
      <c r="F77" s="316"/>
      <c r="M77" s="335"/>
      <c r="N77" s="335"/>
      <c r="Q77" s="317"/>
      <c r="R77" s="317"/>
      <c r="S77" s="317"/>
      <c r="X77" s="316"/>
      <c r="Y77" s="339"/>
      <c r="Z77" s="339"/>
      <c r="AA77" s="339"/>
      <c r="AB77" s="316"/>
      <c r="AC77" s="316"/>
    </row>
    <row r="78" spans="4:29" s="272" customFormat="1" ht="11.25">
      <c r="D78" s="316"/>
      <c r="E78" s="316"/>
      <c r="F78" s="316"/>
      <c r="M78" s="335"/>
      <c r="N78" s="335"/>
      <c r="Q78" s="317"/>
      <c r="R78" s="317"/>
      <c r="S78" s="317"/>
      <c r="X78" s="316"/>
      <c r="Y78" s="339"/>
      <c r="Z78" s="339"/>
      <c r="AA78" s="339"/>
      <c r="AB78" s="316"/>
      <c r="AC78" s="316"/>
    </row>
    <row r="79" spans="4:29" s="272" customFormat="1" ht="11.25">
      <c r="D79" s="316"/>
      <c r="E79" s="316"/>
      <c r="F79" s="316"/>
      <c r="M79" s="335"/>
      <c r="N79" s="335"/>
      <c r="Q79" s="317"/>
      <c r="R79" s="317"/>
      <c r="S79" s="317"/>
      <c r="X79" s="316"/>
      <c r="Y79" s="339"/>
      <c r="Z79" s="339"/>
      <c r="AA79" s="339"/>
      <c r="AB79" s="316"/>
      <c r="AC79" s="316"/>
    </row>
    <row r="80" spans="4:29" s="272" customFormat="1" ht="11.25">
      <c r="D80" s="316"/>
      <c r="E80" s="316"/>
      <c r="F80" s="316"/>
      <c r="M80" s="335"/>
      <c r="N80" s="335"/>
      <c r="Q80" s="317"/>
      <c r="R80" s="317"/>
      <c r="S80" s="317"/>
      <c r="X80" s="316"/>
      <c r="Y80" s="339"/>
      <c r="Z80" s="339"/>
      <c r="AA80" s="339"/>
      <c r="AB80" s="316"/>
      <c r="AC80" s="316"/>
    </row>
    <row r="81" spans="4:29" s="272" customFormat="1" ht="11.25">
      <c r="D81" s="316"/>
      <c r="E81" s="316"/>
      <c r="F81" s="316"/>
      <c r="M81" s="335"/>
      <c r="N81" s="335"/>
      <c r="Q81" s="317"/>
      <c r="R81" s="317"/>
      <c r="S81" s="317"/>
      <c r="X81" s="316"/>
      <c r="Y81" s="339"/>
      <c r="Z81" s="339"/>
      <c r="AA81" s="339"/>
      <c r="AB81" s="316"/>
      <c r="AC81" s="316"/>
    </row>
    <row r="82" spans="4:29" s="272" customFormat="1" ht="11.25">
      <c r="D82" s="316"/>
      <c r="E82" s="316"/>
      <c r="F82" s="316"/>
      <c r="M82" s="335"/>
      <c r="N82" s="335"/>
      <c r="Q82" s="317"/>
      <c r="R82" s="317"/>
      <c r="S82" s="317"/>
      <c r="X82" s="316"/>
      <c r="Y82" s="339"/>
      <c r="Z82" s="339"/>
      <c r="AA82" s="339"/>
      <c r="AB82" s="316"/>
      <c r="AC82" s="316"/>
    </row>
    <row r="83" spans="4:29" s="272" customFormat="1" ht="11.25">
      <c r="D83" s="316"/>
      <c r="E83" s="316"/>
      <c r="F83" s="316"/>
      <c r="M83" s="335"/>
      <c r="N83" s="335"/>
      <c r="Q83" s="317"/>
      <c r="R83" s="317"/>
      <c r="S83" s="317"/>
      <c r="X83" s="316"/>
      <c r="Y83" s="339"/>
      <c r="Z83" s="339"/>
      <c r="AA83" s="339"/>
      <c r="AB83" s="316"/>
      <c r="AC83" s="316"/>
    </row>
    <row r="84" spans="4:29" s="272" customFormat="1" ht="11.25">
      <c r="D84" s="316"/>
      <c r="E84" s="316"/>
      <c r="F84" s="316"/>
      <c r="M84" s="335"/>
      <c r="N84" s="335"/>
      <c r="Q84" s="317"/>
      <c r="R84" s="317"/>
      <c r="S84" s="317"/>
      <c r="X84" s="316"/>
      <c r="Y84" s="339"/>
      <c r="Z84" s="339"/>
      <c r="AA84" s="339"/>
      <c r="AB84" s="316"/>
      <c r="AC84" s="316"/>
    </row>
    <row r="85" spans="4:29" s="272" customFormat="1" ht="11.25">
      <c r="D85" s="316"/>
      <c r="E85" s="316"/>
      <c r="F85" s="316"/>
      <c r="M85" s="335"/>
      <c r="N85" s="335"/>
      <c r="Q85" s="317"/>
      <c r="R85" s="317"/>
      <c r="S85" s="317"/>
      <c r="X85" s="316"/>
      <c r="Y85" s="339"/>
      <c r="Z85" s="339"/>
      <c r="AA85" s="339"/>
      <c r="AB85" s="316"/>
      <c r="AC85" s="316"/>
    </row>
    <row r="86" spans="4:29" s="272" customFormat="1" ht="11.25">
      <c r="D86" s="316"/>
      <c r="E86" s="316"/>
      <c r="F86" s="316"/>
      <c r="M86" s="335"/>
      <c r="N86" s="335"/>
      <c r="Q86" s="317"/>
      <c r="R86" s="317"/>
      <c r="S86" s="317"/>
      <c r="X86" s="316"/>
      <c r="Y86" s="339"/>
      <c r="Z86" s="339"/>
      <c r="AA86" s="339"/>
      <c r="AB86" s="316"/>
      <c r="AC86" s="316"/>
    </row>
    <row r="87" spans="4:29" s="272" customFormat="1" ht="11.25">
      <c r="D87" s="316"/>
      <c r="E87" s="316"/>
      <c r="F87" s="316"/>
      <c r="M87" s="335"/>
      <c r="N87" s="335"/>
      <c r="Q87" s="317"/>
      <c r="R87" s="317"/>
      <c r="S87" s="317"/>
      <c r="X87" s="316"/>
      <c r="Y87" s="339"/>
      <c r="Z87" s="339"/>
      <c r="AA87" s="339"/>
      <c r="AB87" s="316"/>
      <c r="AC87" s="316"/>
    </row>
    <row r="88" spans="4:29" s="272" customFormat="1" ht="11.25">
      <c r="D88" s="316"/>
      <c r="E88" s="316"/>
      <c r="F88" s="316"/>
      <c r="M88" s="335"/>
      <c r="N88" s="335"/>
      <c r="Q88" s="317"/>
      <c r="R88" s="317"/>
      <c r="S88" s="317"/>
      <c r="X88" s="316"/>
      <c r="Y88" s="339"/>
      <c r="Z88" s="339"/>
      <c r="AA88" s="339"/>
      <c r="AB88" s="316"/>
      <c r="AC88" s="316"/>
    </row>
    <row r="89" spans="4:29" s="272" customFormat="1" ht="11.25">
      <c r="D89" s="316"/>
      <c r="E89" s="316"/>
      <c r="F89" s="316"/>
      <c r="M89" s="335"/>
      <c r="N89" s="335"/>
      <c r="Q89" s="317"/>
      <c r="R89" s="317"/>
      <c r="S89" s="317"/>
      <c r="X89" s="316"/>
      <c r="Y89" s="339"/>
      <c r="Z89" s="339"/>
      <c r="AA89" s="339"/>
      <c r="AB89" s="316"/>
      <c r="AC89" s="316"/>
    </row>
    <row r="90" spans="4:29" s="272" customFormat="1" ht="11.25">
      <c r="D90" s="316"/>
      <c r="E90" s="316"/>
      <c r="F90" s="316"/>
      <c r="M90" s="335"/>
      <c r="N90" s="335"/>
      <c r="Q90" s="317"/>
      <c r="R90" s="317"/>
      <c r="S90" s="317"/>
      <c r="X90" s="316"/>
      <c r="Y90" s="339"/>
      <c r="Z90" s="339"/>
      <c r="AA90" s="339"/>
      <c r="AB90" s="316"/>
      <c r="AC90" s="316"/>
    </row>
    <row r="91" spans="4:29" s="272" customFormat="1" ht="11.25">
      <c r="D91" s="316"/>
      <c r="E91" s="316"/>
      <c r="F91" s="316"/>
      <c r="M91" s="335"/>
      <c r="N91" s="335"/>
      <c r="Q91" s="317"/>
      <c r="R91" s="317"/>
      <c r="S91" s="317"/>
      <c r="X91" s="316"/>
      <c r="Y91" s="339"/>
      <c r="Z91" s="339"/>
      <c r="AA91" s="339"/>
      <c r="AB91" s="316"/>
      <c r="AC91" s="316"/>
    </row>
    <row r="92" spans="4:29" s="272" customFormat="1" ht="11.25">
      <c r="D92" s="316"/>
      <c r="E92" s="316"/>
      <c r="F92" s="316"/>
      <c r="M92" s="335"/>
      <c r="N92" s="335"/>
      <c r="Q92" s="317"/>
      <c r="R92" s="317"/>
      <c r="S92" s="317"/>
      <c r="X92" s="316"/>
      <c r="Y92" s="339"/>
      <c r="Z92" s="339"/>
      <c r="AA92" s="339"/>
      <c r="AB92" s="316"/>
      <c r="AC92" s="316"/>
    </row>
    <row r="93" spans="4:29" s="272" customFormat="1" ht="11.25">
      <c r="D93" s="316"/>
      <c r="E93" s="316"/>
      <c r="F93" s="316"/>
      <c r="M93" s="335"/>
      <c r="N93" s="335"/>
      <c r="Q93" s="317"/>
      <c r="R93" s="317"/>
      <c r="S93" s="317"/>
      <c r="X93" s="316"/>
      <c r="Y93" s="339"/>
      <c r="Z93" s="339"/>
      <c r="AA93" s="339"/>
      <c r="AB93" s="316"/>
      <c r="AC93" s="316"/>
    </row>
    <row r="94" spans="4:29" s="272" customFormat="1" ht="11.25">
      <c r="D94" s="316"/>
      <c r="E94" s="316"/>
      <c r="F94" s="316"/>
      <c r="M94" s="335"/>
      <c r="N94" s="335"/>
      <c r="Q94" s="317"/>
      <c r="R94" s="317"/>
      <c r="S94" s="317"/>
      <c r="X94" s="316"/>
      <c r="Y94" s="339"/>
      <c r="Z94" s="339"/>
      <c r="AA94" s="339"/>
      <c r="AB94" s="316"/>
      <c r="AC94" s="316"/>
    </row>
    <row r="95" spans="4:29" s="272" customFormat="1" ht="11.25">
      <c r="D95" s="316"/>
      <c r="E95" s="316"/>
      <c r="F95" s="316"/>
      <c r="M95" s="335"/>
      <c r="N95" s="335"/>
      <c r="Q95" s="317"/>
      <c r="R95" s="317"/>
      <c r="S95" s="317"/>
      <c r="X95" s="316"/>
      <c r="Y95" s="339"/>
      <c r="Z95" s="339"/>
      <c r="AA95" s="339"/>
      <c r="AB95" s="316"/>
      <c r="AC95" s="316"/>
    </row>
    <row r="96" spans="4:29" s="272" customFormat="1" ht="11.25">
      <c r="D96" s="316"/>
      <c r="E96" s="316"/>
      <c r="F96" s="316"/>
      <c r="M96" s="335"/>
      <c r="N96" s="335"/>
      <c r="Q96" s="317"/>
      <c r="R96" s="317"/>
      <c r="S96" s="317"/>
      <c r="X96" s="316"/>
      <c r="Y96" s="339"/>
      <c r="Z96" s="339"/>
      <c r="AA96" s="339"/>
      <c r="AB96" s="316"/>
      <c r="AC96" s="316"/>
    </row>
    <row r="97" spans="4:29" s="272" customFormat="1" ht="11.25">
      <c r="D97" s="316"/>
      <c r="E97" s="316"/>
      <c r="F97" s="316"/>
      <c r="M97" s="335"/>
      <c r="N97" s="335"/>
      <c r="Q97" s="317"/>
      <c r="R97" s="317"/>
      <c r="S97" s="317"/>
      <c r="X97" s="316"/>
      <c r="Y97" s="339"/>
      <c r="Z97" s="339"/>
      <c r="AA97" s="339"/>
      <c r="AB97" s="316"/>
      <c r="AC97" s="316"/>
    </row>
    <row r="98" spans="4:29" s="272" customFormat="1" ht="11.25">
      <c r="D98" s="316"/>
      <c r="E98" s="316"/>
      <c r="F98" s="316"/>
      <c r="M98" s="335"/>
      <c r="N98" s="335"/>
      <c r="Q98" s="317"/>
      <c r="R98" s="317"/>
      <c r="S98" s="317"/>
      <c r="X98" s="316"/>
      <c r="Y98" s="339"/>
      <c r="Z98" s="339"/>
      <c r="AA98" s="339"/>
      <c r="AB98" s="316"/>
      <c r="AC98" s="316"/>
    </row>
    <row r="99" spans="4:29" s="272" customFormat="1" ht="11.25">
      <c r="D99" s="316"/>
      <c r="E99" s="316"/>
      <c r="F99" s="316"/>
      <c r="M99" s="335"/>
      <c r="N99" s="335"/>
      <c r="Q99" s="317"/>
      <c r="R99" s="317"/>
      <c r="S99" s="317"/>
      <c r="X99" s="316"/>
      <c r="Y99" s="339"/>
      <c r="Z99" s="339"/>
      <c r="AA99" s="339"/>
      <c r="AB99" s="316"/>
      <c r="AC99" s="316"/>
    </row>
    <row r="100" spans="4:29" s="272" customFormat="1" ht="11.25">
      <c r="D100" s="316"/>
      <c r="E100" s="316"/>
      <c r="F100" s="316"/>
      <c r="M100" s="335"/>
      <c r="N100" s="335"/>
      <c r="Q100" s="317"/>
      <c r="R100" s="317"/>
      <c r="S100" s="317"/>
      <c r="X100" s="316"/>
      <c r="Y100" s="339"/>
      <c r="Z100" s="339"/>
      <c r="AA100" s="339"/>
      <c r="AB100" s="316"/>
      <c r="AC100" s="316"/>
    </row>
    <row r="101" spans="4:29" s="272" customFormat="1" ht="11.25">
      <c r="D101" s="316"/>
      <c r="E101" s="316"/>
      <c r="F101" s="316"/>
      <c r="M101" s="335"/>
      <c r="N101" s="335"/>
      <c r="Q101" s="317"/>
      <c r="R101" s="317"/>
      <c r="S101" s="317"/>
      <c r="X101" s="316"/>
      <c r="Y101" s="339"/>
      <c r="Z101" s="339"/>
      <c r="AA101" s="339"/>
      <c r="AB101" s="316"/>
      <c r="AC101" s="316"/>
    </row>
    <row r="102" spans="4:29" s="272" customFormat="1" ht="11.25">
      <c r="D102" s="316"/>
      <c r="E102" s="316"/>
      <c r="F102" s="316"/>
      <c r="M102" s="335"/>
      <c r="N102" s="335"/>
      <c r="Q102" s="317"/>
      <c r="R102" s="317"/>
      <c r="S102" s="317"/>
      <c r="X102" s="316"/>
      <c r="Y102" s="339"/>
      <c r="Z102" s="339"/>
      <c r="AA102" s="339"/>
      <c r="AB102" s="316"/>
      <c r="AC102" s="316"/>
    </row>
    <row r="103" spans="4:29" s="272" customFormat="1" ht="11.25">
      <c r="D103" s="316"/>
      <c r="E103" s="316"/>
      <c r="F103" s="316"/>
      <c r="M103" s="335"/>
      <c r="N103" s="335"/>
      <c r="Q103" s="317"/>
      <c r="R103" s="317"/>
      <c r="S103" s="317"/>
      <c r="X103" s="316"/>
      <c r="Y103" s="339"/>
      <c r="Z103" s="339"/>
      <c r="AA103" s="339"/>
      <c r="AB103" s="316"/>
      <c r="AC103" s="316"/>
    </row>
    <row r="104" spans="4:29" s="272" customFormat="1" ht="11.25">
      <c r="D104" s="316"/>
      <c r="E104" s="316"/>
      <c r="F104" s="316"/>
      <c r="M104" s="335"/>
      <c r="N104" s="335"/>
      <c r="Q104" s="317"/>
      <c r="R104" s="317"/>
      <c r="S104" s="317"/>
      <c r="X104" s="316"/>
      <c r="Y104" s="339"/>
      <c r="Z104" s="339"/>
      <c r="AA104" s="339"/>
      <c r="AB104" s="316"/>
      <c r="AC104" s="316"/>
    </row>
    <row r="105" spans="4:29" s="272" customFormat="1" ht="11.25">
      <c r="D105" s="316"/>
      <c r="E105" s="316"/>
      <c r="F105" s="316"/>
      <c r="M105" s="335"/>
      <c r="N105" s="335"/>
      <c r="Q105" s="317"/>
      <c r="R105" s="317"/>
      <c r="S105" s="317"/>
      <c r="X105" s="316"/>
      <c r="Y105" s="339"/>
      <c r="Z105" s="339"/>
      <c r="AA105" s="339"/>
      <c r="AB105" s="316"/>
      <c r="AC105" s="316"/>
    </row>
    <row r="106" spans="4:29" s="272" customFormat="1" ht="11.25">
      <c r="D106" s="316"/>
      <c r="E106" s="316"/>
      <c r="F106" s="316"/>
      <c r="M106" s="335"/>
      <c r="N106" s="335"/>
      <c r="Q106" s="317"/>
      <c r="R106" s="317"/>
      <c r="S106" s="317"/>
      <c r="X106" s="316"/>
      <c r="Y106" s="339"/>
      <c r="Z106" s="339"/>
      <c r="AA106" s="339"/>
      <c r="AB106" s="316"/>
      <c r="AC106" s="316"/>
    </row>
    <row r="107" spans="4:29" s="272" customFormat="1" ht="11.25">
      <c r="D107" s="316"/>
      <c r="E107" s="316"/>
      <c r="F107" s="316"/>
      <c r="M107" s="335"/>
      <c r="N107" s="335"/>
      <c r="Q107" s="317"/>
      <c r="R107" s="317"/>
      <c r="S107" s="317"/>
      <c r="X107" s="316"/>
      <c r="Y107" s="339"/>
      <c r="Z107" s="339"/>
      <c r="AA107" s="339"/>
      <c r="AB107" s="316"/>
      <c r="AC107" s="316"/>
    </row>
    <row r="108" spans="4:29" s="272" customFormat="1" ht="11.25">
      <c r="D108" s="316"/>
      <c r="E108" s="316"/>
      <c r="F108" s="316"/>
      <c r="M108" s="335"/>
      <c r="N108" s="335"/>
      <c r="Q108" s="317"/>
      <c r="R108" s="317"/>
      <c r="S108" s="317"/>
      <c r="X108" s="316"/>
      <c r="Y108" s="339"/>
      <c r="Z108" s="339"/>
      <c r="AA108" s="339"/>
      <c r="AB108" s="316"/>
      <c r="AC108" s="316"/>
    </row>
    <row r="109" spans="4:29" s="272" customFormat="1" ht="11.25">
      <c r="D109" s="316"/>
      <c r="E109" s="316"/>
      <c r="F109" s="316"/>
      <c r="M109" s="335"/>
      <c r="N109" s="335"/>
      <c r="Q109" s="317"/>
      <c r="R109" s="317"/>
      <c r="S109" s="317"/>
      <c r="X109" s="316"/>
      <c r="Y109" s="339"/>
      <c r="Z109" s="339"/>
      <c r="AA109" s="339"/>
      <c r="AB109" s="316"/>
      <c r="AC109" s="316"/>
    </row>
    <row r="110" spans="4:29" s="272" customFormat="1" ht="11.25">
      <c r="D110" s="316"/>
      <c r="E110" s="316"/>
      <c r="F110" s="316"/>
      <c r="M110" s="335"/>
      <c r="N110" s="335"/>
      <c r="Q110" s="317"/>
      <c r="R110" s="317"/>
      <c r="S110" s="317"/>
      <c r="X110" s="316"/>
      <c r="Y110" s="339"/>
      <c r="Z110" s="339"/>
      <c r="AA110" s="339"/>
      <c r="AB110" s="316"/>
      <c r="AC110" s="316"/>
    </row>
    <row r="111" spans="4:29" s="272" customFormat="1" ht="11.25">
      <c r="D111" s="316"/>
      <c r="E111" s="316"/>
      <c r="F111" s="316"/>
      <c r="M111" s="335"/>
      <c r="N111" s="335"/>
      <c r="Q111" s="317"/>
      <c r="R111" s="317"/>
      <c r="S111" s="317"/>
      <c r="X111" s="316"/>
      <c r="Y111" s="339"/>
      <c r="Z111" s="339"/>
      <c r="AA111" s="339"/>
      <c r="AB111" s="316"/>
      <c r="AC111" s="316"/>
    </row>
    <row r="112" spans="4:29" s="272" customFormat="1" ht="11.25">
      <c r="D112" s="316"/>
      <c r="E112" s="316"/>
      <c r="F112" s="316"/>
      <c r="M112" s="335"/>
      <c r="N112" s="335"/>
      <c r="Q112" s="317"/>
      <c r="R112" s="317"/>
      <c r="S112" s="317"/>
      <c r="X112" s="316"/>
      <c r="Y112" s="339"/>
      <c r="Z112" s="339"/>
      <c r="AA112" s="339"/>
      <c r="AB112" s="316"/>
      <c r="AC112" s="316"/>
    </row>
    <row r="113" spans="4:29" s="272" customFormat="1" ht="11.25">
      <c r="D113" s="316"/>
      <c r="E113" s="316"/>
      <c r="F113" s="316"/>
      <c r="M113" s="335"/>
      <c r="N113" s="335"/>
      <c r="Q113" s="317"/>
      <c r="R113" s="317"/>
      <c r="S113" s="317"/>
      <c r="X113" s="316"/>
      <c r="Y113" s="339"/>
      <c r="Z113" s="339"/>
      <c r="AA113" s="339"/>
      <c r="AB113" s="316"/>
      <c r="AC113" s="316"/>
    </row>
    <row r="114" spans="4:29" s="272" customFormat="1" ht="11.25">
      <c r="D114" s="316"/>
      <c r="E114" s="316"/>
      <c r="F114" s="316"/>
      <c r="M114" s="335"/>
      <c r="N114" s="335"/>
      <c r="Q114" s="317"/>
      <c r="R114" s="317"/>
      <c r="S114" s="317"/>
      <c r="X114" s="316"/>
      <c r="Y114" s="339"/>
      <c r="Z114" s="339"/>
      <c r="AA114" s="339"/>
      <c r="AB114" s="316"/>
      <c r="AC114" s="316"/>
    </row>
    <row r="115" spans="4:29" s="272" customFormat="1" ht="11.25">
      <c r="D115" s="316"/>
      <c r="E115" s="316"/>
      <c r="F115" s="316"/>
      <c r="M115" s="335"/>
      <c r="N115" s="335"/>
      <c r="Q115" s="317"/>
      <c r="R115" s="317"/>
      <c r="S115" s="317"/>
      <c r="X115" s="316"/>
      <c r="Y115" s="339"/>
      <c r="Z115" s="339"/>
      <c r="AA115" s="339"/>
      <c r="AB115" s="316"/>
      <c r="AC115" s="316"/>
    </row>
    <row r="116" spans="4:29" s="272" customFormat="1" ht="11.25">
      <c r="D116" s="316"/>
      <c r="E116" s="316"/>
      <c r="F116" s="316"/>
      <c r="M116" s="335"/>
      <c r="N116" s="335"/>
      <c r="Q116" s="317"/>
      <c r="R116" s="317"/>
      <c r="S116" s="317"/>
      <c r="X116" s="316"/>
      <c r="Y116" s="339"/>
      <c r="Z116" s="339"/>
      <c r="AA116" s="339"/>
      <c r="AB116" s="316"/>
      <c r="AC116" s="316"/>
    </row>
    <row r="117" spans="4:29" s="272" customFormat="1" ht="11.25">
      <c r="D117" s="316"/>
      <c r="E117" s="316"/>
      <c r="F117" s="316"/>
      <c r="M117" s="335"/>
      <c r="N117" s="335"/>
      <c r="Q117" s="317"/>
      <c r="R117" s="317"/>
      <c r="S117" s="317"/>
      <c r="X117" s="316"/>
      <c r="Y117" s="339"/>
      <c r="Z117" s="339"/>
      <c r="AA117" s="339"/>
      <c r="AB117" s="316"/>
      <c r="AC117" s="316"/>
    </row>
    <row r="118" spans="4:29" s="272" customFormat="1" ht="11.25">
      <c r="D118" s="316"/>
      <c r="E118" s="316"/>
      <c r="F118" s="316"/>
      <c r="M118" s="335"/>
      <c r="N118" s="335"/>
      <c r="Q118" s="317"/>
      <c r="R118" s="317"/>
      <c r="S118" s="317"/>
      <c r="X118" s="316"/>
      <c r="Y118" s="339"/>
      <c r="Z118" s="339"/>
      <c r="AA118" s="339"/>
      <c r="AB118" s="316"/>
      <c r="AC118" s="316"/>
    </row>
    <row r="119" spans="4:29" s="272" customFormat="1" ht="11.25">
      <c r="D119" s="316"/>
      <c r="E119" s="316"/>
      <c r="F119" s="316"/>
      <c r="M119" s="335"/>
      <c r="N119" s="335"/>
      <c r="Q119" s="317"/>
      <c r="R119" s="317"/>
      <c r="S119" s="317"/>
      <c r="X119" s="316"/>
      <c r="Y119" s="339"/>
      <c r="Z119" s="339"/>
      <c r="AA119" s="339"/>
      <c r="AB119" s="316"/>
      <c r="AC119" s="316"/>
    </row>
    <row r="120" spans="4:29" s="272" customFormat="1" ht="11.25">
      <c r="D120" s="316"/>
      <c r="E120" s="316"/>
      <c r="F120" s="316"/>
      <c r="M120" s="335"/>
      <c r="N120" s="335"/>
      <c r="Q120" s="317"/>
      <c r="R120" s="317"/>
      <c r="S120" s="317"/>
      <c r="X120" s="316"/>
      <c r="Y120" s="339"/>
      <c r="Z120" s="339"/>
      <c r="AA120" s="339"/>
      <c r="AB120" s="316"/>
      <c r="AC120" s="316"/>
    </row>
    <row r="121" spans="4:29" s="272" customFormat="1" ht="11.25">
      <c r="D121" s="316"/>
      <c r="E121" s="316"/>
      <c r="F121" s="316"/>
      <c r="M121" s="335"/>
      <c r="N121" s="335"/>
      <c r="Q121" s="317"/>
      <c r="R121" s="317"/>
      <c r="S121" s="317"/>
      <c r="X121" s="316"/>
      <c r="Y121" s="339"/>
      <c r="Z121" s="339"/>
      <c r="AA121" s="339"/>
      <c r="AB121" s="316"/>
      <c r="AC121" s="316"/>
    </row>
    <row r="122" spans="4:29" s="272" customFormat="1" ht="11.25">
      <c r="D122" s="316"/>
      <c r="E122" s="316"/>
      <c r="F122" s="316"/>
      <c r="M122" s="335"/>
      <c r="N122" s="335"/>
      <c r="Q122" s="317"/>
      <c r="R122" s="317"/>
      <c r="S122" s="317"/>
      <c r="X122" s="316"/>
      <c r="Y122" s="339"/>
      <c r="Z122" s="339"/>
      <c r="AA122" s="339"/>
      <c r="AB122" s="316"/>
      <c r="AC122" s="316"/>
    </row>
    <row r="123" spans="4:29" s="272" customFormat="1" ht="11.25">
      <c r="D123" s="316"/>
      <c r="E123" s="316"/>
      <c r="F123" s="316"/>
      <c r="M123" s="335"/>
      <c r="N123" s="335"/>
      <c r="Q123" s="317"/>
      <c r="R123" s="317"/>
      <c r="S123" s="317"/>
      <c r="X123" s="316"/>
      <c r="Y123" s="339"/>
      <c r="Z123" s="339"/>
      <c r="AA123" s="339"/>
      <c r="AB123" s="316"/>
      <c r="AC123" s="316"/>
    </row>
    <row r="124" spans="4:29" s="272" customFormat="1" ht="11.25">
      <c r="D124" s="316"/>
      <c r="E124" s="316"/>
      <c r="F124" s="316"/>
      <c r="M124" s="335"/>
      <c r="N124" s="335"/>
      <c r="Q124" s="317"/>
      <c r="R124" s="317"/>
      <c r="S124" s="317"/>
      <c r="X124" s="316"/>
      <c r="Y124" s="339"/>
      <c r="Z124" s="339"/>
      <c r="AA124" s="339"/>
      <c r="AB124" s="316"/>
      <c r="AC124" s="316"/>
    </row>
    <row r="125" spans="4:29" s="272" customFormat="1" ht="11.25">
      <c r="D125" s="316"/>
      <c r="E125" s="316"/>
      <c r="F125" s="316"/>
      <c r="M125" s="335"/>
      <c r="N125" s="335"/>
      <c r="Q125" s="317"/>
      <c r="R125" s="317"/>
      <c r="S125" s="317"/>
      <c r="X125" s="316"/>
      <c r="Y125" s="339"/>
      <c r="Z125" s="339"/>
      <c r="AA125" s="339"/>
      <c r="AB125" s="316"/>
      <c r="AC125" s="316"/>
    </row>
    <row r="126" spans="4:29" s="272" customFormat="1" ht="11.25">
      <c r="D126" s="316"/>
      <c r="E126" s="316"/>
      <c r="F126" s="316"/>
      <c r="M126" s="335"/>
      <c r="N126" s="335"/>
      <c r="Q126" s="317"/>
      <c r="R126" s="317"/>
      <c r="S126" s="317"/>
      <c r="X126" s="316"/>
      <c r="Y126" s="339"/>
      <c r="Z126" s="339"/>
      <c r="AA126" s="339"/>
      <c r="AB126" s="316"/>
      <c r="AC126" s="316"/>
    </row>
    <row r="127" spans="4:29" s="272" customFormat="1" ht="11.25">
      <c r="D127" s="316"/>
      <c r="E127" s="316"/>
      <c r="F127" s="316"/>
      <c r="M127" s="335"/>
      <c r="N127" s="335"/>
      <c r="Q127" s="317"/>
      <c r="R127" s="317"/>
      <c r="S127" s="317"/>
      <c r="X127" s="316"/>
      <c r="Y127" s="339"/>
      <c r="Z127" s="339"/>
      <c r="AA127" s="339"/>
      <c r="AB127" s="316"/>
      <c r="AC127" s="316"/>
    </row>
    <row r="128" spans="4:29" s="272" customFormat="1" ht="11.25">
      <c r="D128" s="316"/>
      <c r="E128" s="316"/>
      <c r="F128" s="316"/>
      <c r="M128" s="335"/>
      <c r="N128" s="335"/>
      <c r="Q128" s="317"/>
      <c r="R128" s="317"/>
      <c r="S128" s="317"/>
      <c r="X128" s="316"/>
      <c r="Y128" s="339"/>
      <c r="Z128" s="339"/>
      <c r="AA128" s="339"/>
      <c r="AB128" s="316"/>
      <c r="AC128" s="316"/>
    </row>
    <row r="129" spans="4:29" s="272" customFormat="1" ht="11.25">
      <c r="D129" s="316"/>
      <c r="E129" s="316"/>
      <c r="F129" s="316"/>
      <c r="M129" s="335"/>
      <c r="N129" s="335"/>
      <c r="Q129" s="317"/>
      <c r="R129" s="317"/>
      <c r="S129" s="317"/>
      <c r="X129" s="316"/>
      <c r="Y129" s="339"/>
      <c r="Z129" s="339"/>
      <c r="AA129" s="339"/>
      <c r="AB129" s="316"/>
      <c r="AC129" s="316"/>
    </row>
    <row r="130" spans="4:29" s="272" customFormat="1" ht="11.25">
      <c r="D130" s="316"/>
      <c r="E130" s="316"/>
      <c r="F130" s="316"/>
      <c r="M130" s="335"/>
      <c r="N130" s="335"/>
      <c r="Q130" s="317"/>
      <c r="R130" s="317"/>
      <c r="S130" s="317"/>
      <c r="X130" s="316"/>
      <c r="Y130" s="339"/>
      <c r="Z130" s="339"/>
      <c r="AA130" s="339"/>
      <c r="AB130" s="316"/>
      <c r="AC130" s="316"/>
    </row>
    <row r="131" spans="4:29" s="272" customFormat="1" ht="11.25">
      <c r="D131" s="316"/>
      <c r="E131" s="316"/>
      <c r="F131" s="316"/>
      <c r="M131" s="335"/>
      <c r="N131" s="335"/>
      <c r="Q131" s="317"/>
      <c r="R131" s="317"/>
      <c r="S131" s="317"/>
      <c r="X131" s="316"/>
      <c r="Y131" s="339"/>
      <c r="Z131" s="339"/>
      <c r="AA131" s="339"/>
      <c r="AB131" s="316"/>
      <c r="AC131" s="316"/>
    </row>
  </sheetData>
  <sheetProtection/>
  <mergeCells count="30">
    <mergeCell ref="Y5:AA5"/>
    <mergeCell ref="AB5:AC5"/>
    <mergeCell ref="A2:W2"/>
    <mergeCell ref="S6:S7"/>
    <mergeCell ref="L6:L7"/>
    <mergeCell ref="R5:U5"/>
    <mergeCell ref="K6:K7"/>
    <mergeCell ref="O6:O7"/>
    <mergeCell ref="P6:P7"/>
    <mergeCell ref="Q5:Q7"/>
    <mergeCell ref="D4:D7"/>
    <mergeCell ref="R6:R7"/>
    <mergeCell ref="F4:F7"/>
    <mergeCell ref="I4:P4"/>
    <mergeCell ref="Q4:U4"/>
    <mergeCell ref="G4:G7"/>
    <mergeCell ref="H4:H7"/>
    <mergeCell ref="I5:I7"/>
    <mergeCell ref="J6:J7"/>
    <mergeCell ref="J5:P5"/>
    <mergeCell ref="E4:E7"/>
    <mergeCell ref="V3:W3"/>
    <mergeCell ref="A1:W1"/>
    <mergeCell ref="T6:T7"/>
    <mergeCell ref="U6:U7"/>
    <mergeCell ref="V4:V7"/>
    <mergeCell ref="W4:W7"/>
    <mergeCell ref="A4:A7"/>
    <mergeCell ref="B4:B7"/>
    <mergeCell ref="C4:C7"/>
  </mergeCells>
  <conditionalFormatting sqref="H12">
    <cfRule type="cellIs" priority="1" dxfId="0" operator="lessThan" stopIfTrue="1">
      <formula>G12</formula>
    </cfRule>
  </conditionalFormatting>
  <printOptions horizontalCentered="1"/>
  <pageMargins left="0.1968503937007874" right="0.1968503937007874" top="0.4724409448818898" bottom="0.2755905511811024" header="0.31496062992125984" footer="0.2362204724409449"/>
  <pageSetup firstPageNumber="3" useFirstPageNumber="1" horizontalDpi="600" verticalDpi="600" orientation="landscape"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X179"/>
  <sheetViews>
    <sheetView showZeros="0" view="pageBreakPreview" zoomScale="105" zoomScaleNormal="110" zoomScaleSheetLayoutView="105" zoomScalePageLayoutView="0" workbookViewId="0" topLeftCell="A4">
      <pane ySplit="6" topLeftCell="A10" activePane="bottomLeft" state="frozen"/>
      <selection pane="topLeft" activeCell="B13" sqref="B13"/>
      <selection pane="bottomLeft" activeCell="N14" sqref="N14"/>
    </sheetView>
  </sheetViews>
  <sheetFormatPr defaultColWidth="8.796875" defaultRowHeight="18" customHeight="1"/>
  <cols>
    <col min="1" max="1" width="4.5" style="61" bestFit="1" customWidth="1"/>
    <col min="2" max="2" width="14.8984375" style="62" customWidth="1"/>
    <col min="3" max="4" width="6" style="63" bestFit="1" customWidth="1"/>
    <col min="5" max="5" width="6.5" style="63" bestFit="1" customWidth="1"/>
    <col min="6" max="6" width="10.8984375" style="63" customWidth="1"/>
    <col min="7" max="7" width="6.8984375" style="154" bestFit="1" customWidth="1"/>
    <col min="8" max="8" width="10.3984375" style="147" customWidth="1"/>
    <col min="9" max="9" width="5.59765625" style="154" hidden="1" customWidth="1"/>
    <col min="10" max="10" width="7.59765625" style="154" hidden="1" customWidth="1"/>
    <col min="11" max="11" width="6.09765625" style="154" bestFit="1" customWidth="1"/>
    <col min="12" max="12" width="7.59765625" style="154" customWidth="1"/>
    <col min="13" max="13" width="4.59765625" style="154" customWidth="1"/>
    <col min="14" max="14" width="7.59765625" style="154" customWidth="1"/>
    <col min="15" max="15" width="4.59765625" style="154" customWidth="1"/>
    <col min="16" max="16" width="7.59765625" style="154" customWidth="1"/>
    <col min="17" max="17" width="5.09765625" style="154" customWidth="1"/>
    <col min="18" max="18" width="7.59765625" style="154" customWidth="1"/>
    <col min="19" max="19" width="5.8984375" style="154" customWidth="1"/>
    <col min="20" max="20" width="7.59765625" style="154" customWidth="1"/>
    <col min="21" max="21" width="6.19921875" style="154" bestFit="1" customWidth="1"/>
    <col min="22" max="22" width="6.5" style="154" customWidth="1"/>
    <col min="23" max="23" width="5" style="64" customWidth="1"/>
    <col min="24" max="16384" width="9" style="49" customWidth="1"/>
  </cols>
  <sheetData>
    <row r="1" spans="1:23" ht="35.25" customHeight="1">
      <c r="A1" s="1371" t="s">
        <v>516</v>
      </c>
      <c r="B1" s="1371"/>
      <c r="C1" s="1371"/>
      <c r="D1" s="1371"/>
      <c r="E1" s="1371"/>
      <c r="F1" s="1371"/>
      <c r="G1" s="1371"/>
      <c r="H1" s="1371"/>
      <c r="I1" s="1371"/>
      <c r="J1" s="1371"/>
      <c r="K1" s="1371"/>
      <c r="L1" s="1371"/>
      <c r="M1" s="1371"/>
      <c r="N1" s="1371"/>
      <c r="O1" s="1371"/>
      <c r="P1" s="1371"/>
      <c r="Q1" s="1371"/>
      <c r="R1" s="1371"/>
      <c r="S1" s="1371"/>
      <c r="T1" s="1371"/>
      <c r="U1" s="1371"/>
      <c r="V1" s="1371"/>
      <c r="W1" s="1371"/>
    </row>
    <row r="2" spans="1:23" ht="19.5" customHeight="1">
      <c r="A2" s="1403" t="e">
        <f>+#REF!</f>
        <v>#REF!</v>
      </c>
      <c r="B2" s="1403"/>
      <c r="C2" s="1403"/>
      <c r="D2" s="1403"/>
      <c r="E2" s="1403"/>
      <c r="F2" s="1403"/>
      <c r="G2" s="1403"/>
      <c r="H2" s="1403"/>
      <c r="I2" s="1403"/>
      <c r="J2" s="1403"/>
      <c r="K2" s="1403"/>
      <c r="L2" s="1403"/>
      <c r="M2" s="1403"/>
      <c r="N2" s="1403"/>
      <c r="O2" s="1403"/>
      <c r="P2" s="1403"/>
      <c r="Q2" s="1403"/>
      <c r="R2" s="1403"/>
      <c r="S2" s="1403"/>
      <c r="T2" s="1403"/>
      <c r="U2" s="1403"/>
      <c r="V2" s="1403"/>
      <c r="W2" s="1403"/>
    </row>
    <row r="3" spans="1:23" s="50" customFormat="1" ht="18" customHeight="1">
      <c r="A3" s="1367" t="s">
        <v>650</v>
      </c>
      <c r="B3" s="1367"/>
      <c r="C3" s="1367"/>
      <c r="D3" s="1367"/>
      <c r="E3" s="1367"/>
      <c r="F3" s="1367"/>
      <c r="G3" s="1367"/>
      <c r="H3" s="1367"/>
      <c r="I3" s="1367"/>
      <c r="J3" s="1367"/>
      <c r="K3" s="1367"/>
      <c r="L3" s="1367"/>
      <c r="M3" s="1367"/>
      <c r="N3" s="1367"/>
      <c r="O3" s="1367"/>
      <c r="P3" s="1367"/>
      <c r="Q3" s="1367"/>
      <c r="R3" s="1367"/>
      <c r="S3" s="1367"/>
      <c r="T3" s="1367"/>
      <c r="U3" s="1367"/>
      <c r="V3" s="1367"/>
      <c r="W3" s="1367"/>
    </row>
    <row r="4" spans="1:23" s="52" customFormat="1" ht="53.25" customHeight="1">
      <c r="A4" s="1392" t="s">
        <v>488</v>
      </c>
      <c r="B4" s="1392" t="s">
        <v>656</v>
      </c>
      <c r="C4" s="1392" t="s">
        <v>632</v>
      </c>
      <c r="D4" s="1392" t="s">
        <v>633</v>
      </c>
      <c r="E4" s="1392" t="s">
        <v>634</v>
      </c>
      <c r="F4" s="1395" t="s">
        <v>635</v>
      </c>
      <c r="G4" s="1395"/>
      <c r="H4" s="1395"/>
      <c r="I4" s="1390" t="s">
        <v>717</v>
      </c>
      <c r="J4" s="1391"/>
      <c r="K4" s="1390" t="s">
        <v>504</v>
      </c>
      <c r="L4" s="1391"/>
      <c r="M4" s="1396" t="s">
        <v>508</v>
      </c>
      <c r="N4" s="1397"/>
      <c r="O4" s="1396" t="s">
        <v>509</v>
      </c>
      <c r="P4" s="1397"/>
      <c r="Q4" s="1396" t="s">
        <v>510</v>
      </c>
      <c r="R4" s="1397"/>
      <c r="S4" s="1396" t="s">
        <v>511</v>
      </c>
      <c r="T4" s="1397"/>
      <c r="U4" s="1390" t="s">
        <v>512</v>
      </c>
      <c r="V4" s="1391"/>
      <c r="W4" s="1392" t="s">
        <v>636</v>
      </c>
    </row>
    <row r="5" spans="1:23" s="52" customFormat="1" ht="18" customHeight="1">
      <c r="A5" s="1393"/>
      <c r="B5" s="1393"/>
      <c r="C5" s="1393"/>
      <c r="D5" s="1393"/>
      <c r="E5" s="1393"/>
      <c r="F5" s="1395" t="s">
        <v>637</v>
      </c>
      <c r="G5" s="1395" t="s">
        <v>638</v>
      </c>
      <c r="H5" s="1395"/>
      <c r="I5" s="1395" t="s">
        <v>639</v>
      </c>
      <c r="J5" s="1398" t="s">
        <v>667</v>
      </c>
      <c r="K5" s="1395" t="s">
        <v>639</v>
      </c>
      <c r="L5" s="1398" t="s">
        <v>667</v>
      </c>
      <c r="M5" s="1395" t="s">
        <v>639</v>
      </c>
      <c r="N5" s="1398" t="s">
        <v>667</v>
      </c>
      <c r="O5" s="1395" t="s">
        <v>639</v>
      </c>
      <c r="P5" s="1398" t="s">
        <v>667</v>
      </c>
      <c r="Q5" s="1395" t="s">
        <v>639</v>
      </c>
      <c r="R5" s="1398" t="s">
        <v>667</v>
      </c>
      <c r="S5" s="1395" t="s">
        <v>639</v>
      </c>
      <c r="T5" s="1398" t="s">
        <v>667</v>
      </c>
      <c r="U5" s="1395" t="s">
        <v>639</v>
      </c>
      <c r="V5" s="1398" t="s">
        <v>657</v>
      </c>
      <c r="W5" s="1393"/>
    </row>
    <row r="6" spans="1:23" s="52" customFormat="1" ht="12" customHeight="1">
      <c r="A6" s="1393"/>
      <c r="B6" s="1393"/>
      <c r="C6" s="1393"/>
      <c r="D6" s="1393"/>
      <c r="E6" s="1393"/>
      <c r="F6" s="1395"/>
      <c r="G6" s="1401" t="s">
        <v>639</v>
      </c>
      <c r="H6" s="1406" t="s">
        <v>667</v>
      </c>
      <c r="I6" s="1395"/>
      <c r="J6" s="1399"/>
      <c r="K6" s="1395"/>
      <c r="L6" s="1399"/>
      <c r="M6" s="1395"/>
      <c r="N6" s="1399"/>
      <c r="O6" s="1395"/>
      <c r="P6" s="1399"/>
      <c r="Q6" s="1395"/>
      <c r="R6" s="1399"/>
      <c r="S6" s="1395"/>
      <c r="T6" s="1399"/>
      <c r="U6" s="1395"/>
      <c r="V6" s="1399"/>
      <c r="W6" s="1393"/>
    </row>
    <row r="7" spans="1:23" s="52" customFormat="1" ht="16.5" customHeight="1">
      <c r="A7" s="1394"/>
      <c r="B7" s="1394"/>
      <c r="C7" s="1394"/>
      <c r="D7" s="1394"/>
      <c r="E7" s="1394"/>
      <c r="F7" s="1395"/>
      <c r="G7" s="1402"/>
      <c r="H7" s="1407"/>
      <c r="I7" s="1395"/>
      <c r="J7" s="1400"/>
      <c r="K7" s="1395"/>
      <c r="L7" s="1400"/>
      <c r="M7" s="1395"/>
      <c r="N7" s="1400"/>
      <c r="O7" s="1395"/>
      <c r="P7" s="1400"/>
      <c r="Q7" s="1395"/>
      <c r="R7" s="1400"/>
      <c r="S7" s="1395"/>
      <c r="T7" s="1400"/>
      <c r="U7" s="1395"/>
      <c r="V7" s="1400"/>
      <c r="W7" s="1394"/>
    </row>
    <row r="8" spans="1:23" s="161" customFormat="1" ht="18" customHeight="1">
      <c r="A8" s="53">
        <v>1</v>
      </c>
      <c r="B8" s="53">
        <v>2</v>
      </c>
      <c r="C8" s="53">
        <v>3</v>
      </c>
      <c r="D8" s="53">
        <v>4</v>
      </c>
      <c r="E8" s="53">
        <v>5</v>
      </c>
      <c r="F8" s="53">
        <v>6</v>
      </c>
      <c r="G8" s="216">
        <v>7</v>
      </c>
      <c r="H8" s="53">
        <v>8</v>
      </c>
      <c r="I8" s="53"/>
      <c r="J8" s="53"/>
      <c r="K8" s="53">
        <v>9</v>
      </c>
      <c r="L8" s="51">
        <v>10</v>
      </c>
      <c r="M8" s="53">
        <v>11</v>
      </c>
      <c r="N8" s="53">
        <v>12</v>
      </c>
      <c r="O8" s="53">
        <v>13</v>
      </c>
      <c r="P8" s="53">
        <v>14</v>
      </c>
      <c r="Q8" s="53">
        <v>15</v>
      </c>
      <c r="R8" s="53">
        <v>16</v>
      </c>
      <c r="S8" s="53">
        <v>17</v>
      </c>
      <c r="T8" s="53">
        <v>18</v>
      </c>
      <c r="U8" s="53">
        <v>19</v>
      </c>
      <c r="V8" s="51">
        <v>20</v>
      </c>
      <c r="W8" s="53">
        <v>21</v>
      </c>
    </row>
    <row r="9" spans="1:23" ht="18" customHeight="1">
      <c r="A9" s="132"/>
      <c r="B9" s="135" t="s">
        <v>645</v>
      </c>
      <c r="C9" s="133"/>
      <c r="D9" s="133"/>
      <c r="E9" s="133"/>
      <c r="F9" s="133"/>
      <c r="G9" s="149">
        <f>+G10+G29</f>
        <v>793090.084</v>
      </c>
      <c r="H9" s="149">
        <f>+H10+H29</f>
        <v>680109.2356</v>
      </c>
      <c r="I9" s="148"/>
      <c r="J9" s="148"/>
      <c r="K9" s="149" t="e">
        <f aca="true" t="shared" si="0" ref="K9:V9">+K10+K29</f>
        <v>#REF!</v>
      </c>
      <c r="L9" s="149" t="e">
        <f t="shared" si="0"/>
        <v>#REF!</v>
      </c>
      <c r="M9" s="149" t="e">
        <f t="shared" si="0"/>
        <v>#REF!</v>
      </c>
      <c r="N9" s="149" t="e">
        <f t="shared" si="0"/>
        <v>#REF!</v>
      </c>
      <c r="O9" s="149" t="e">
        <f t="shared" si="0"/>
        <v>#REF!</v>
      </c>
      <c r="P9" s="149" t="e">
        <f t="shared" si="0"/>
        <v>#REF!</v>
      </c>
      <c r="Q9" s="149" t="e">
        <f t="shared" si="0"/>
        <v>#REF!</v>
      </c>
      <c r="R9" s="149" t="e">
        <f t="shared" si="0"/>
        <v>#REF!</v>
      </c>
      <c r="S9" s="149" t="e">
        <f t="shared" si="0"/>
        <v>#REF!</v>
      </c>
      <c r="T9" s="149" t="e">
        <f t="shared" si="0"/>
        <v>#REF!</v>
      </c>
      <c r="U9" s="149" t="e">
        <f t="shared" si="0"/>
        <v>#REF!</v>
      </c>
      <c r="V9" s="149" t="e">
        <f t="shared" si="0"/>
        <v>#REF!</v>
      </c>
      <c r="W9" s="134"/>
    </row>
    <row r="10" spans="1:23" s="177" customFormat="1" ht="18" customHeight="1">
      <c r="A10" s="172" t="s">
        <v>607</v>
      </c>
      <c r="B10" s="173" t="s">
        <v>658</v>
      </c>
      <c r="C10" s="174"/>
      <c r="D10" s="174"/>
      <c r="E10" s="174"/>
      <c r="F10" s="174"/>
      <c r="G10" s="175">
        <f>+G11+G17+G20+G23+G14+G26</f>
        <v>0</v>
      </c>
      <c r="H10" s="175">
        <f aca="true" t="shared" si="1" ref="H10:V10">+H11+H17+H20+H23+H14+H26</f>
        <v>0</v>
      </c>
      <c r="I10" s="175">
        <f t="shared" si="1"/>
        <v>0</v>
      </c>
      <c r="J10" s="175">
        <f t="shared" si="1"/>
        <v>0</v>
      </c>
      <c r="K10" s="175" t="e">
        <f t="shared" si="1"/>
        <v>#REF!</v>
      </c>
      <c r="L10" s="175" t="e">
        <f t="shared" si="1"/>
        <v>#REF!</v>
      </c>
      <c r="M10" s="175" t="e">
        <f t="shared" si="1"/>
        <v>#REF!</v>
      </c>
      <c r="N10" s="175" t="e">
        <f t="shared" si="1"/>
        <v>#REF!</v>
      </c>
      <c r="O10" s="175" t="e">
        <f t="shared" si="1"/>
        <v>#REF!</v>
      </c>
      <c r="P10" s="175" t="e">
        <f t="shared" si="1"/>
        <v>#REF!</v>
      </c>
      <c r="Q10" s="175" t="e">
        <f t="shared" si="1"/>
        <v>#REF!</v>
      </c>
      <c r="R10" s="175" t="e">
        <f t="shared" si="1"/>
        <v>#REF!</v>
      </c>
      <c r="S10" s="175" t="e">
        <f t="shared" si="1"/>
        <v>#REF!</v>
      </c>
      <c r="T10" s="175" t="e">
        <f t="shared" si="1"/>
        <v>#REF!</v>
      </c>
      <c r="U10" s="175" t="e">
        <f t="shared" si="1"/>
        <v>#REF!</v>
      </c>
      <c r="V10" s="175" t="e">
        <f t="shared" si="1"/>
        <v>#REF!</v>
      </c>
      <c r="W10" s="176"/>
    </row>
    <row r="11" spans="1:23" s="54" customFormat="1" ht="45">
      <c r="A11" s="132">
        <v>1</v>
      </c>
      <c r="B11" s="142" t="s">
        <v>940</v>
      </c>
      <c r="C11" s="135"/>
      <c r="D11" s="135"/>
      <c r="E11" s="135"/>
      <c r="F11" s="135"/>
      <c r="G11" s="149"/>
      <c r="H11" s="145"/>
      <c r="I11" s="149"/>
      <c r="J11" s="149"/>
      <c r="K11" s="130">
        <f aca="true" t="shared" si="2" ref="K11:U11">+K12+K13</f>
        <v>1350</v>
      </c>
      <c r="L11" s="130">
        <f t="shared" si="2"/>
        <v>1350</v>
      </c>
      <c r="M11" s="130">
        <f t="shared" si="2"/>
        <v>50</v>
      </c>
      <c r="N11" s="130">
        <f t="shared" si="2"/>
        <v>50</v>
      </c>
      <c r="O11" s="130">
        <f t="shared" si="2"/>
        <v>50</v>
      </c>
      <c r="P11" s="130">
        <f t="shared" si="2"/>
        <v>50</v>
      </c>
      <c r="Q11" s="130">
        <f t="shared" si="2"/>
        <v>650</v>
      </c>
      <c r="R11" s="130">
        <f t="shared" si="2"/>
        <v>650</v>
      </c>
      <c r="S11" s="130">
        <f t="shared" si="2"/>
        <v>1350</v>
      </c>
      <c r="T11" s="130">
        <f t="shared" si="2"/>
        <v>1350</v>
      </c>
      <c r="U11" s="130" t="e">
        <f t="shared" si="2"/>
        <v>#REF!</v>
      </c>
      <c r="V11" s="130" t="e">
        <f>+V12+V13</f>
        <v>#REF!</v>
      </c>
      <c r="W11" s="136"/>
    </row>
    <row r="12" spans="1:23" s="56" customFormat="1" ht="22.5">
      <c r="A12" s="143"/>
      <c r="B12" s="155" t="s">
        <v>802</v>
      </c>
      <c r="C12" s="156"/>
      <c r="D12" s="156"/>
      <c r="E12" s="140"/>
      <c r="F12" s="157"/>
      <c r="G12" s="159"/>
      <c r="H12" s="158"/>
      <c r="I12" s="151"/>
      <c r="J12" s="151"/>
      <c r="K12" s="151">
        <f>+L12</f>
        <v>650</v>
      </c>
      <c r="L12" s="151">
        <v>650</v>
      </c>
      <c r="M12" s="151">
        <f>+N12</f>
        <v>50</v>
      </c>
      <c r="N12" s="151">
        <v>50</v>
      </c>
      <c r="O12" s="151">
        <f>+P12</f>
        <v>50</v>
      </c>
      <c r="P12" s="151">
        <v>50</v>
      </c>
      <c r="Q12" s="151">
        <f>+R12</f>
        <v>650</v>
      </c>
      <c r="R12" s="151">
        <v>650</v>
      </c>
      <c r="S12" s="151">
        <f>+T12</f>
        <v>650</v>
      </c>
      <c r="T12" s="151">
        <f>+L12</f>
        <v>650</v>
      </c>
      <c r="U12" s="521" t="e">
        <f>+V12</f>
        <v>#REF!</v>
      </c>
      <c r="V12" s="521" t="e">
        <f>+#REF!</f>
        <v>#REF!</v>
      </c>
      <c r="W12" s="141"/>
    </row>
    <row r="13" spans="1:23" s="56" customFormat="1" ht="15" customHeight="1">
      <c r="A13" s="143"/>
      <c r="B13" s="155" t="s">
        <v>801</v>
      </c>
      <c r="C13" s="156"/>
      <c r="D13" s="156"/>
      <c r="E13" s="140"/>
      <c r="F13" s="157"/>
      <c r="G13" s="159"/>
      <c r="H13" s="158"/>
      <c r="I13" s="151"/>
      <c r="J13" s="151"/>
      <c r="K13" s="151">
        <f>+L13</f>
        <v>700</v>
      </c>
      <c r="L13" s="151">
        <f>500+200</f>
        <v>700</v>
      </c>
      <c r="M13" s="151">
        <f>+N13</f>
        <v>0</v>
      </c>
      <c r="N13" s="151"/>
      <c r="O13" s="151">
        <f>+P13</f>
        <v>0</v>
      </c>
      <c r="P13" s="151"/>
      <c r="Q13" s="151">
        <f>+R13</f>
        <v>0</v>
      </c>
      <c r="R13" s="151"/>
      <c r="S13" s="151">
        <f>+T13</f>
        <v>700</v>
      </c>
      <c r="T13" s="151">
        <f>+L13</f>
        <v>700</v>
      </c>
      <c r="U13" s="151">
        <f>+V13</f>
        <v>900</v>
      </c>
      <c r="V13" s="151">
        <f>600+300</f>
        <v>900</v>
      </c>
      <c r="W13" s="141"/>
    </row>
    <row r="14" spans="1:23" s="54" customFormat="1" ht="51" customHeight="1">
      <c r="A14" s="132">
        <f>+A11+1</f>
        <v>2</v>
      </c>
      <c r="B14" s="603" t="e">
        <f>+#REF!</f>
        <v>#REF!</v>
      </c>
      <c r="C14" s="135"/>
      <c r="D14" s="135"/>
      <c r="E14" s="135"/>
      <c r="F14" s="135"/>
      <c r="G14" s="149"/>
      <c r="H14" s="145"/>
      <c r="I14" s="149"/>
      <c r="J14" s="149"/>
      <c r="K14" s="130">
        <f aca="true" t="shared" si="3" ref="K14:U14">+K15+K16</f>
        <v>0</v>
      </c>
      <c r="L14" s="130">
        <f t="shared" si="3"/>
        <v>0</v>
      </c>
      <c r="M14" s="130">
        <f t="shared" si="3"/>
        <v>0</v>
      </c>
      <c r="N14" s="130">
        <f t="shared" si="3"/>
        <v>0</v>
      </c>
      <c r="O14" s="130">
        <f t="shared" si="3"/>
        <v>0</v>
      </c>
      <c r="P14" s="130">
        <f t="shared" si="3"/>
        <v>0</v>
      </c>
      <c r="Q14" s="130">
        <f t="shared" si="3"/>
        <v>0</v>
      </c>
      <c r="R14" s="130">
        <f t="shared" si="3"/>
        <v>0</v>
      </c>
      <c r="S14" s="130">
        <f t="shared" si="3"/>
        <v>0</v>
      </c>
      <c r="T14" s="130">
        <f t="shared" si="3"/>
        <v>0</v>
      </c>
      <c r="U14" s="130" t="e">
        <f t="shared" si="3"/>
        <v>#REF!</v>
      </c>
      <c r="V14" s="130" t="e">
        <f>+V15+V16</f>
        <v>#REF!</v>
      </c>
      <c r="W14" s="136"/>
    </row>
    <row r="15" spans="1:23" s="56" customFormat="1" ht="22.5">
      <c r="A15" s="143"/>
      <c r="B15" s="155" t="s">
        <v>802</v>
      </c>
      <c r="C15" s="156"/>
      <c r="D15" s="156"/>
      <c r="E15" s="140"/>
      <c r="F15" s="157"/>
      <c r="G15" s="159"/>
      <c r="H15" s="158"/>
      <c r="I15" s="151"/>
      <c r="J15" s="151"/>
      <c r="K15" s="151">
        <f>+L15</f>
        <v>0</v>
      </c>
      <c r="L15" s="151"/>
      <c r="M15" s="151">
        <f>+N15</f>
        <v>0</v>
      </c>
      <c r="N15" s="151"/>
      <c r="O15" s="151">
        <f>+P15</f>
        <v>0</v>
      </c>
      <c r="P15" s="151"/>
      <c r="Q15" s="151">
        <f>+R15</f>
        <v>0</v>
      </c>
      <c r="R15" s="151"/>
      <c r="S15" s="151">
        <f>+T15</f>
        <v>0</v>
      </c>
      <c r="T15" s="151">
        <f>+L15</f>
        <v>0</v>
      </c>
      <c r="U15" s="521" t="e">
        <f>+V15</f>
        <v>#REF!</v>
      </c>
      <c r="V15" s="521" t="e">
        <f>+#REF!</f>
        <v>#REF!</v>
      </c>
      <c r="W15" s="141"/>
    </row>
    <row r="16" spans="1:23" s="56" customFormat="1" ht="15" customHeight="1">
      <c r="A16" s="143"/>
      <c r="B16" s="155" t="s">
        <v>801</v>
      </c>
      <c r="C16" s="156"/>
      <c r="D16" s="156"/>
      <c r="E16" s="140"/>
      <c r="F16" s="157"/>
      <c r="G16" s="159"/>
      <c r="H16" s="158"/>
      <c r="I16" s="151"/>
      <c r="J16" s="151"/>
      <c r="K16" s="151">
        <f>+L16</f>
        <v>0</v>
      </c>
      <c r="L16" s="151"/>
      <c r="M16" s="151">
        <f>+N16</f>
        <v>0</v>
      </c>
      <c r="N16" s="151"/>
      <c r="O16" s="151">
        <f>+P16</f>
        <v>0</v>
      </c>
      <c r="P16" s="151"/>
      <c r="Q16" s="151">
        <f>+R16</f>
        <v>0</v>
      </c>
      <c r="R16" s="151"/>
      <c r="S16" s="151">
        <f>+T16</f>
        <v>0</v>
      </c>
      <c r="T16" s="151">
        <f>+L16</f>
        <v>0</v>
      </c>
      <c r="U16" s="151">
        <f>+V16</f>
        <v>0</v>
      </c>
      <c r="V16" s="151"/>
      <c r="W16" s="141"/>
    </row>
    <row r="17" spans="1:23" s="54" customFormat="1" ht="45">
      <c r="A17" s="132">
        <f>+A14+1</f>
        <v>3</v>
      </c>
      <c r="B17" s="142" t="s">
        <v>794</v>
      </c>
      <c r="C17" s="135"/>
      <c r="D17" s="135"/>
      <c r="E17" s="135"/>
      <c r="F17" s="135"/>
      <c r="G17" s="149"/>
      <c r="H17" s="145"/>
      <c r="I17" s="149"/>
      <c r="J17" s="149"/>
      <c r="K17" s="130" t="e">
        <f aca="true" t="shared" si="4" ref="K17:U17">+K18+K19</f>
        <v>#REF!</v>
      </c>
      <c r="L17" s="130" t="e">
        <f t="shared" si="4"/>
        <v>#REF!</v>
      </c>
      <c r="M17" s="130" t="e">
        <f t="shared" si="4"/>
        <v>#REF!</v>
      </c>
      <c r="N17" s="130" t="e">
        <f t="shared" si="4"/>
        <v>#REF!</v>
      </c>
      <c r="O17" s="130" t="e">
        <f t="shared" si="4"/>
        <v>#REF!</v>
      </c>
      <c r="P17" s="130" t="e">
        <f t="shared" si="4"/>
        <v>#REF!</v>
      </c>
      <c r="Q17" s="130" t="e">
        <f t="shared" si="4"/>
        <v>#REF!</v>
      </c>
      <c r="R17" s="130" t="e">
        <f t="shared" si="4"/>
        <v>#REF!</v>
      </c>
      <c r="S17" s="130" t="e">
        <f t="shared" si="4"/>
        <v>#REF!</v>
      </c>
      <c r="T17" s="130" t="e">
        <f t="shared" si="4"/>
        <v>#REF!</v>
      </c>
      <c r="U17" s="130" t="e">
        <f t="shared" si="4"/>
        <v>#REF!</v>
      </c>
      <c r="V17" s="130" t="e">
        <f>+V18+V19</f>
        <v>#REF!</v>
      </c>
      <c r="W17" s="136"/>
    </row>
    <row r="18" spans="1:23" s="56" customFormat="1" ht="22.5">
      <c r="A18" s="143"/>
      <c r="B18" s="155" t="s">
        <v>802</v>
      </c>
      <c r="C18" s="156"/>
      <c r="D18" s="156"/>
      <c r="E18" s="140"/>
      <c r="F18" s="157"/>
      <c r="G18" s="159"/>
      <c r="H18" s="158"/>
      <c r="I18" s="151"/>
      <c r="J18" s="151"/>
      <c r="K18" s="151" t="e">
        <f>+L18</f>
        <v>#REF!</v>
      </c>
      <c r="L18" s="151" t="e">
        <f>+#REF!</f>
        <v>#REF!</v>
      </c>
      <c r="M18" s="151" t="e">
        <f>+N18</f>
        <v>#REF!</v>
      </c>
      <c r="N18" s="151" t="e">
        <f>+#REF!</f>
        <v>#REF!</v>
      </c>
      <c r="O18" s="151" t="e">
        <f>+P18</f>
        <v>#REF!</v>
      </c>
      <c r="P18" s="151" t="e">
        <f>+#REF!</f>
        <v>#REF!</v>
      </c>
      <c r="Q18" s="151" t="e">
        <f>+R18</f>
        <v>#REF!</v>
      </c>
      <c r="R18" s="151" t="e">
        <f>+L18</f>
        <v>#REF!</v>
      </c>
      <c r="S18" s="151" t="e">
        <f>+T18</f>
        <v>#REF!</v>
      </c>
      <c r="T18" s="151" t="e">
        <f>+L18</f>
        <v>#REF!</v>
      </c>
      <c r="U18" s="521" t="e">
        <f>+V18</f>
        <v>#REF!</v>
      </c>
      <c r="V18" s="521" t="e">
        <f>+#REF!</f>
        <v>#REF!</v>
      </c>
      <c r="W18" s="141"/>
    </row>
    <row r="19" spans="1:23" s="56" customFormat="1" ht="15" customHeight="1">
      <c r="A19" s="143"/>
      <c r="B19" s="155" t="s">
        <v>801</v>
      </c>
      <c r="C19" s="156"/>
      <c r="D19" s="156"/>
      <c r="E19" s="140"/>
      <c r="F19" s="157"/>
      <c r="G19" s="159"/>
      <c r="H19" s="158"/>
      <c r="I19" s="151"/>
      <c r="J19" s="151"/>
      <c r="K19" s="151" t="e">
        <f>+L19</f>
        <v>#REF!</v>
      </c>
      <c r="L19" s="151" t="e">
        <f>+#REF!</f>
        <v>#REF!</v>
      </c>
      <c r="M19" s="151" t="e">
        <f>+N19</f>
        <v>#REF!</v>
      </c>
      <c r="N19" s="151" t="e">
        <f>+#REF!</f>
        <v>#REF!</v>
      </c>
      <c r="O19" s="151" t="e">
        <f>+P19</f>
        <v>#REF!</v>
      </c>
      <c r="P19" s="151" t="e">
        <f>+#REF!</f>
        <v>#REF!</v>
      </c>
      <c r="Q19" s="151" t="e">
        <f>+R19</f>
        <v>#REF!</v>
      </c>
      <c r="R19" s="151" t="e">
        <f>+L19</f>
        <v>#REF!</v>
      </c>
      <c r="S19" s="151" t="e">
        <f>+T19</f>
        <v>#REF!</v>
      </c>
      <c r="T19" s="151" t="e">
        <f>+L19</f>
        <v>#REF!</v>
      </c>
      <c r="U19" s="151" t="e">
        <f>+V19</f>
        <v>#REF!</v>
      </c>
      <c r="V19" s="151" t="e">
        <f>+#REF!</f>
        <v>#REF!</v>
      </c>
      <c r="W19" s="141"/>
    </row>
    <row r="20" spans="1:23" s="54" customFormat="1" ht="25.5" customHeight="1">
      <c r="A20" s="132">
        <f>+A17+1</f>
        <v>4</v>
      </c>
      <c r="B20" s="142" t="s">
        <v>902</v>
      </c>
      <c r="C20" s="135"/>
      <c r="D20" s="135"/>
      <c r="E20" s="135"/>
      <c r="F20" s="135"/>
      <c r="G20" s="149"/>
      <c r="H20" s="145"/>
      <c r="I20" s="149"/>
      <c r="J20" s="149"/>
      <c r="K20" s="130" t="e">
        <f>+K21+K22</f>
        <v>#REF!</v>
      </c>
      <c r="L20" s="130" t="e">
        <f>+L21+L22</f>
        <v>#REF!</v>
      </c>
      <c r="M20" s="130" t="e">
        <f>+M21+M22</f>
        <v>#REF!</v>
      </c>
      <c r="N20" s="130" t="e">
        <f>+N21+N22</f>
        <v>#REF!</v>
      </c>
      <c r="O20" s="130" t="e">
        <f>+O21+O22</f>
        <v>#REF!</v>
      </c>
      <c r="P20" s="130" t="e">
        <f aca="true" t="shared" si="5" ref="P20:V20">+P21+P22</f>
        <v>#REF!</v>
      </c>
      <c r="Q20" s="130" t="e">
        <f t="shared" si="5"/>
        <v>#REF!</v>
      </c>
      <c r="R20" s="130" t="e">
        <f t="shared" si="5"/>
        <v>#REF!</v>
      </c>
      <c r="S20" s="130" t="e">
        <f t="shared" si="5"/>
        <v>#REF!</v>
      </c>
      <c r="T20" s="130" t="e">
        <f t="shared" si="5"/>
        <v>#REF!</v>
      </c>
      <c r="U20" s="130" t="e">
        <f t="shared" si="5"/>
        <v>#REF!</v>
      </c>
      <c r="V20" s="130" t="e">
        <f t="shared" si="5"/>
        <v>#REF!</v>
      </c>
      <c r="W20" s="136"/>
    </row>
    <row r="21" spans="1:23" s="56" customFormat="1" ht="22.5">
      <c r="A21" s="143"/>
      <c r="B21" s="155" t="s">
        <v>802</v>
      </c>
      <c r="C21" s="156"/>
      <c r="D21" s="156"/>
      <c r="E21" s="140"/>
      <c r="F21" s="157"/>
      <c r="G21" s="159"/>
      <c r="H21" s="158"/>
      <c r="I21" s="151"/>
      <c r="J21" s="151"/>
      <c r="K21" s="151" t="e">
        <f>+L21</f>
        <v>#REF!</v>
      </c>
      <c r="L21" s="151" t="e">
        <f>+#REF!</f>
        <v>#REF!</v>
      </c>
      <c r="M21" s="151" t="e">
        <f>+N21</f>
        <v>#REF!</v>
      </c>
      <c r="N21" s="151" t="e">
        <f>+#REF!</f>
        <v>#REF!</v>
      </c>
      <c r="O21" s="151" t="e">
        <f>+P21</f>
        <v>#REF!</v>
      </c>
      <c r="P21" s="151" t="e">
        <f>+#REF!</f>
        <v>#REF!</v>
      </c>
      <c r="Q21" s="151" t="e">
        <f>+R21</f>
        <v>#REF!</v>
      </c>
      <c r="R21" s="151" t="e">
        <f>+L21</f>
        <v>#REF!</v>
      </c>
      <c r="S21" s="151" t="e">
        <f>+T21</f>
        <v>#REF!</v>
      </c>
      <c r="T21" s="151" t="e">
        <f>+L21</f>
        <v>#REF!</v>
      </c>
      <c r="U21" s="521" t="e">
        <f>+V21</f>
        <v>#REF!</v>
      </c>
      <c r="V21" s="521" t="e">
        <f>+#REF!</f>
        <v>#REF!</v>
      </c>
      <c r="W21" s="141"/>
    </row>
    <row r="22" spans="1:23" s="56" customFormat="1" ht="15" customHeight="1">
      <c r="A22" s="143"/>
      <c r="B22" s="155" t="s">
        <v>801</v>
      </c>
      <c r="C22" s="156"/>
      <c r="D22" s="156"/>
      <c r="E22" s="140"/>
      <c r="F22" s="157"/>
      <c r="G22" s="159"/>
      <c r="H22" s="158"/>
      <c r="I22" s="151"/>
      <c r="J22" s="151"/>
      <c r="K22" s="151" t="e">
        <f>+L22</f>
        <v>#REF!</v>
      </c>
      <c r="L22" s="151" t="e">
        <f>+#REF!</f>
        <v>#REF!</v>
      </c>
      <c r="M22" s="151" t="e">
        <f>+N22</f>
        <v>#REF!</v>
      </c>
      <c r="N22" s="151" t="e">
        <f>+#REF!</f>
        <v>#REF!</v>
      </c>
      <c r="O22" s="151">
        <f>+P22</f>
        <v>0</v>
      </c>
      <c r="P22" s="151"/>
      <c r="Q22" s="151" t="e">
        <f>+R22</f>
        <v>#REF!</v>
      </c>
      <c r="R22" s="151" t="e">
        <f>+L22</f>
        <v>#REF!</v>
      </c>
      <c r="S22" s="151" t="e">
        <f>+T22</f>
        <v>#REF!</v>
      </c>
      <c r="T22" s="151" t="e">
        <f>+L22</f>
        <v>#REF!</v>
      </c>
      <c r="U22" s="151" t="e">
        <f>+V22</f>
        <v>#REF!</v>
      </c>
      <c r="V22" s="151" t="e">
        <f>+#REF!</f>
        <v>#REF!</v>
      </c>
      <c r="W22" s="141"/>
    </row>
    <row r="23" spans="1:23" s="54" customFormat="1" ht="45">
      <c r="A23" s="132">
        <f>+A20+1</f>
        <v>5</v>
      </c>
      <c r="B23" s="142" t="s">
        <v>810</v>
      </c>
      <c r="C23" s="135"/>
      <c r="D23" s="133"/>
      <c r="E23" s="135"/>
      <c r="F23" s="135"/>
      <c r="G23" s="149"/>
      <c r="H23" s="145"/>
      <c r="I23" s="149"/>
      <c r="J23" s="149"/>
      <c r="K23" s="130" t="e">
        <f>+K24+K25</f>
        <v>#REF!</v>
      </c>
      <c r="L23" s="130" t="e">
        <f>+L24+L25</f>
        <v>#REF!</v>
      </c>
      <c r="M23" s="130" t="e">
        <f>+M24+M25</f>
        <v>#REF!</v>
      </c>
      <c r="N23" s="149"/>
      <c r="O23" s="149"/>
      <c r="P23" s="130">
        <f aca="true" t="shared" si="6" ref="P23:V23">+P24+P25</f>
        <v>0</v>
      </c>
      <c r="Q23" s="130" t="e">
        <f t="shared" si="6"/>
        <v>#REF!</v>
      </c>
      <c r="R23" s="130" t="e">
        <f t="shared" si="6"/>
        <v>#REF!</v>
      </c>
      <c r="S23" s="130" t="e">
        <f t="shared" si="6"/>
        <v>#REF!</v>
      </c>
      <c r="T23" s="130" t="e">
        <f t="shared" si="6"/>
        <v>#REF!</v>
      </c>
      <c r="U23" s="130" t="e">
        <f t="shared" si="6"/>
        <v>#REF!</v>
      </c>
      <c r="V23" s="130" t="e">
        <f t="shared" si="6"/>
        <v>#REF!</v>
      </c>
      <c r="W23" s="136"/>
    </row>
    <row r="24" spans="1:23" s="56" customFormat="1" ht="22.5">
      <c r="A24" s="143"/>
      <c r="B24" s="155" t="s">
        <v>802</v>
      </c>
      <c r="C24" s="156"/>
      <c r="D24" s="156"/>
      <c r="E24" s="140"/>
      <c r="F24" s="157"/>
      <c r="G24" s="159"/>
      <c r="H24" s="158"/>
      <c r="I24" s="151"/>
      <c r="J24" s="151"/>
      <c r="K24" s="151" t="e">
        <f>+L24</f>
        <v>#REF!</v>
      </c>
      <c r="L24" s="151" t="e">
        <f>+#REF!</f>
        <v>#REF!</v>
      </c>
      <c r="M24" s="151" t="e">
        <f>+N24</f>
        <v>#REF!</v>
      </c>
      <c r="N24" s="151" t="e">
        <f>+#REF!</f>
        <v>#REF!</v>
      </c>
      <c r="O24" s="151">
        <f>+P24</f>
        <v>0</v>
      </c>
      <c r="P24" s="151">
        <v>0</v>
      </c>
      <c r="Q24" s="151" t="e">
        <f>+R24</f>
        <v>#REF!</v>
      </c>
      <c r="R24" s="151" t="e">
        <f>+L24</f>
        <v>#REF!</v>
      </c>
      <c r="S24" s="151" t="e">
        <f>+T24</f>
        <v>#REF!</v>
      </c>
      <c r="T24" s="151" t="e">
        <f>+L24</f>
        <v>#REF!</v>
      </c>
      <c r="U24" s="521" t="e">
        <f>+V24</f>
        <v>#REF!</v>
      </c>
      <c r="V24" s="521" t="e">
        <f>+#REF!</f>
        <v>#REF!</v>
      </c>
      <c r="W24" s="138"/>
    </row>
    <row r="25" spans="1:23" s="56" customFormat="1" ht="15" customHeight="1">
      <c r="A25" s="143"/>
      <c r="B25" s="155" t="s">
        <v>801</v>
      </c>
      <c r="C25" s="156"/>
      <c r="D25" s="156"/>
      <c r="E25" s="140"/>
      <c r="F25" s="157"/>
      <c r="G25" s="159"/>
      <c r="H25" s="158"/>
      <c r="I25" s="151"/>
      <c r="J25" s="151"/>
      <c r="K25" s="151" t="e">
        <f>+L25</f>
        <v>#REF!</v>
      </c>
      <c r="L25" s="151" t="e">
        <f>+#REF!</f>
        <v>#REF!</v>
      </c>
      <c r="M25" s="151" t="e">
        <f>+N25</f>
        <v>#REF!</v>
      </c>
      <c r="N25" s="151" t="e">
        <f>+#REF!</f>
        <v>#REF!</v>
      </c>
      <c r="O25" s="151">
        <f>+P25</f>
        <v>0</v>
      </c>
      <c r="P25" s="151"/>
      <c r="Q25" s="151" t="e">
        <f>+R25</f>
        <v>#REF!</v>
      </c>
      <c r="R25" s="151" t="e">
        <f>+L25</f>
        <v>#REF!</v>
      </c>
      <c r="S25" s="151" t="e">
        <f>+T25</f>
        <v>#REF!</v>
      </c>
      <c r="T25" s="151" t="e">
        <f>+L25</f>
        <v>#REF!</v>
      </c>
      <c r="U25" s="151" t="e">
        <f>+V25</f>
        <v>#REF!</v>
      </c>
      <c r="V25" s="151" t="e">
        <f>+#REF!</f>
        <v>#REF!</v>
      </c>
      <c r="W25" s="138"/>
    </row>
    <row r="26" spans="1:23" s="54" customFormat="1" ht="21.75" customHeight="1">
      <c r="A26" s="132">
        <f>+A23+1</f>
        <v>6</v>
      </c>
      <c r="B26" s="142" t="s">
        <v>887</v>
      </c>
      <c r="C26" s="135"/>
      <c r="D26" s="133"/>
      <c r="E26" s="135"/>
      <c r="F26" s="135"/>
      <c r="G26" s="149"/>
      <c r="H26" s="145"/>
      <c r="I26" s="149"/>
      <c r="J26" s="149"/>
      <c r="K26" s="130" t="e">
        <f>+K27+K28</f>
        <v>#REF!</v>
      </c>
      <c r="L26" s="130" t="e">
        <f>+L27+L28</f>
        <v>#REF!</v>
      </c>
      <c r="M26" s="130">
        <f>+M27+M28</f>
        <v>0</v>
      </c>
      <c r="N26" s="149"/>
      <c r="O26" s="149"/>
      <c r="P26" s="130">
        <f aca="true" t="shared" si="7" ref="P26:V26">+P27+P28</f>
        <v>0</v>
      </c>
      <c r="Q26" s="130" t="e">
        <f t="shared" si="7"/>
        <v>#REF!</v>
      </c>
      <c r="R26" s="130" t="e">
        <f t="shared" si="7"/>
        <v>#REF!</v>
      </c>
      <c r="S26" s="130" t="e">
        <f t="shared" si="7"/>
        <v>#REF!</v>
      </c>
      <c r="T26" s="130" t="e">
        <f t="shared" si="7"/>
        <v>#REF!</v>
      </c>
      <c r="U26" s="130" t="e">
        <f t="shared" si="7"/>
        <v>#REF!</v>
      </c>
      <c r="V26" s="130" t="e">
        <f t="shared" si="7"/>
        <v>#REF!</v>
      </c>
      <c r="W26" s="136"/>
    </row>
    <row r="27" spans="1:23" s="56" customFormat="1" ht="22.5">
      <c r="A27" s="143"/>
      <c r="B27" s="155" t="s">
        <v>802</v>
      </c>
      <c r="C27" s="156"/>
      <c r="D27" s="156"/>
      <c r="E27" s="140"/>
      <c r="F27" s="157"/>
      <c r="G27" s="159"/>
      <c r="H27" s="158"/>
      <c r="I27" s="151"/>
      <c r="J27" s="151"/>
      <c r="K27" s="151">
        <f>+L27</f>
        <v>0</v>
      </c>
      <c r="L27" s="151"/>
      <c r="M27" s="151">
        <f>+N27</f>
        <v>0</v>
      </c>
      <c r="N27" s="151"/>
      <c r="O27" s="151">
        <f>+P27</f>
        <v>0</v>
      </c>
      <c r="P27" s="151">
        <v>0</v>
      </c>
      <c r="Q27" s="151">
        <f>+R27</f>
        <v>0</v>
      </c>
      <c r="R27" s="151">
        <f>+L27</f>
        <v>0</v>
      </c>
      <c r="S27" s="151">
        <f>+T27</f>
        <v>0</v>
      </c>
      <c r="T27" s="151">
        <f>+L27</f>
        <v>0</v>
      </c>
      <c r="U27" s="521" t="e">
        <f>+V27</f>
        <v>#REF!</v>
      </c>
      <c r="V27" s="521" t="e">
        <f>+#REF!</f>
        <v>#REF!</v>
      </c>
      <c r="W27" s="138"/>
    </row>
    <row r="28" spans="1:23" s="56" customFormat="1" ht="15" customHeight="1">
      <c r="A28" s="143"/>
      <c r="B28" s="155" t="s">
        <v>801</v>
      </c>
      <c r="C28" s="156"/>
      <c r="D28" s="156"/>
      <c r="E28" s="140"/>
      <c r="F28" s="157"/>
      <c r="G28" s="159"/>
      <c r="H28" s="158"/>
      <c r="I28" s="151"/>
      <c r="J28" s="151"/>
      <c r="K28" s="151" t="e">
        <f>+L28</f>
        <v>#REF!</v>
      </c>
      <c r="L28" s="151" t="e">
        <f>+#REF!</f>
        <v>#REF!</v>
      </c>
      <c r="M28" s="151">
        <f>+N28</f>
        <v>0</v>
      </c>
      <c r="N28" s="151"/>
      <c r="O28" s="151">
        <f>+P28</f>
        <v>0</v>
      </c>
      <c r="P28" s="151"/>
      <c r="Q28" s="151" t="e">
        <f>+R28</f>
        <v>#REF!</v>
      </c>
      <c r="R28" s="151" t="e">
        <f>+L28</f>
        <v>#REF!</v>
      </c>
      <c r="S28" s="151" t="e">
        <f>+T28</f>
        <v>#REF!</v>
      </c>
      <c r="T28" s="151" t="e">
        <f>+L28</f>
        <v>#REF!</v>
      </c>
      <c r="U28" s="151" t="e">
        <f>+V28</f>
        <v>#REF!</v>
      </c>
      <c r="V28" s="151" t="e">
        <f>+#REF!</f>
        <v>#REF!</v>
      </c>
      <c r="W28" s="138"/>
    </row>
    <row r="29" spans="1:23" s="177" customFormat="1" ht="21.75" customHeight="1">
      <c r="A29" s="172" t="s">
        <v>608</v>
      </c>
      <c r="B29" s="173" t="s">
        <v>659</v>
      </c>
      <c r="C29" s="174"/>
      <c r="D29" s="174"/>
      <c r="E29" s="174"/>
      <c r="F29" s="174"/>
      <c r="G29" s="175">
        <f aca="true" t="shared" si="8" ref="G29:V29">+G30+G91+G119</f>
        <v>793090.084</v>
      </c>
      <c r="H29" s="175">
        <f t="shared" si="8"/>
        <v>680109.2356</v>
      </c>
      <c r="I29" s="175" t="e">
        <f t="shared" si="8"/>
        <v>#REF!</v>
      </c>
      <c r="J29" s="175" t="e">
        <f t="shared" si="8"/>
        <v>#REF!</v>
      </c>
      <c r="K29" s="175" t="e">
        <f t="shared" si="8"/>
        <v>#REF!</v>
      </c>
      <c r="L29" s="175" t="e">
        <f t="shared" si="8"/>
        <v>#REF!</v>
      </c>
      <c r="M29" s="175" t="e">
        <f t="shared" si="8"/>
        <v>#REF!</v>
      </c>
      <c r="N29" s="175" t="e">
        <f t="shared" si="8"/>
        <v>#REF!</v>
      </c>
      <c r="O29" s="175" t="e">
        <f t="shared" si="8"/>
        <v>#REF!</v>
      </c>
      <c r="P29" s="175" t="e">
        <f t="shared" si="8"/>
        <v>#REF!</v>
      </c>
      <c r="Q29" s="175" t="e">
        <f t="shared" si="8"/>
        <v>#REF!</v>
      </c>
      <c r="R29" s="175" t="e">
        <f t="shared" si="8"/>
        <v>#REF!</v>
      </c>
      <c r="S29" s="175" t="e">
        <f t="shared" si="8"/>
        <v>#REF!</v>
      </c>
      <c r="T29" s="175" t="e">
        <f t="shared" si="8"/>
        <v>#REF!</v>
      </c>
      <c r="U29" s="175" t="e">
        <f t="shared" si="8"/>
        <v>#REF!</v>
      </c>
      <c r="V29" s="175" t="e">
        <f t="shared" si="8"/>
        <v>#REF!</v>
      </c>
      <c r="W29" s="176"/>
    </row>
    <row r="30" spans="1:23" s="171" customFormat="1" ht="18" customHeight="1">
      <c r="A30" s="163" t="s">
        <v>486</v>
      </c>
      <c r="B30" s="164" t="s">
        <v>668</v>
      </c>
      <c r="C30" s="169"/>
      <c r="D30" s="169"/>
      <c r="E30" s="169"/>
      <c r="F30" s="169"/>
      <c r="G30" s="166">
        <f>+G31+G80+G87</f>
        <v>160513.59999999998</v>
      </c>
      <c r="H30" s="166">
        <f aca="true" t="shared" si="9" ref="H30:V30">+H31+H80+H87</f>
        <v>160513.59999999998</v>
      </c>
      <c r="I30" s="166" t="e">
        <f t="shared" si="9"/>
        <v>#REF!</v>
      </c>
      <c r="J30" s="166" t="e">
        <f t="shared" si="9"/>
        <v>#REF!</v>
      </c>
      <c r="K30" s="166">
        <f t="shared" si="9"/>
        <v>7282</v>
      </c>
      <c r="L30" s="166">
        <f t="shared" si="9"/>
        <v>7282</v>
      </c>
      <c r="M30" s="166">
        <f t="shared" si="9"/>
        <v>0</v>
      </c>
      <c r="N30" s="166">
        <f t="shared" si="9"/>
        <v>0</v>
      </c>
      <c r="O30" s="166">
        <f t="shared" si="9"/>
        <v>2282</v>
      </c>
      <c r="P30" s="166">
        <f t="shared" si="9"/>
        <v>2282</v>
      </c>
      <c r="Q30" s="166">
        <f t="shared" si="9"/>
        <v>0</v>
      </c>
      <c r="R30" s="166">
        <f t="shared" si="9"/>
        <v>0</v>
      </c>
      <c r="S30" s="166">
        <f t="shared" si="9"/>
        <v>0</v>
      </c>
      <c r="T30" s="166">
        <f t="shared" si="9"/>
        <v>0</v>
      </c>
      <c r="U30" s="166">
        <f t="shared" si="9"/>
        <v>5108.6</v>
      </c>
      <c r="V30" s="166">
        <f t="shared" si="9"/>
        <v>5108.6</v>
      </c>
      <c r="W30" s="170"/>
    </row>
    <row r="31" spans="1:23" s="56" customFormat="1" ht="18" customHeight="1">
      <c r="A31" s="179" t="s">
        <v>896</v>
      </c>
      <c r="B31" s="180" t="s">
        <v>812</v>
      </c>
      <c r="C31" s="140"/>
      <c r="D31" s="140"/>
      <c r="E31" s="140"/>
      <c r="F31" s="140"/>
      <c r="G31" s="150">
        <f aca="true" t="shared" si="10" ref="G31:U31">+G32+G35+G38+G41+G44+G47+G50+G53+G56+G59+G62+G65+G68+G71+G74+G77</f>
        <v>143106.59999999998</v>
      </c>
      <c r="H31" s="150">
        <f t="shared" si="10"/>
        <v>143106.59999999998</v>
      </c>
      <c r="I31" s="150" t="e">
        <f t="shared" si="10"/>
        <v>#REF!</v>
      </c>
      <c r="J31" s="150" t="e">
        <f t="shared" si="10"/>
        <v>#REF!</v>
      </c>
      <c r="K31" s="150">
        <f>+K32+K35+K38+K41+K44+K47+K50+K53+K56+K59+K62+K65+K68+K71+K74+K77</f>
        <v>2282</v>
      </c>
      <c r="L31" s="150">
        <f t="shared" si="10"/>
        <v>2282</v>
      </c>
      <c r="M31" s="150">
        <f t="shared" si="10"/>
        <v>0</v>
      </c>
      <c r="N31" s="150">
        <f t="shared" si="10"/>
        <v>0</v>
      </c>
      <c r="O31" s="150">
        <f t="shared" si="10"/>
        <v>2282</v>
      </c>
      <c r="P31" s="150">
        <f t="shared" si="10"/>
        <v>2282</v>
      </c>
      <c r="Q31" s="150">
        <f t="shared" si="10"/>
        <v>0</v>
      </c>
      <c r="R31" s="150">
        <f t="shared" si="10"/>
        <v>0</v>
      </c>
      <c r="S31" s="150">
        <f t="shared" si="10"/>
        <v>0</v>
      </c>
      <c r="T31" s="150">
        <f t="shared" si="10"/>
        <v>0</v>
      </c>
      <c r="U31" s="150">
        <f t="shared" si="10"/>
        <v>2991.6</v>
      </c>
      <c r="V31" s="150">
        <f>+V32+V35+V38+V41+V44+V47+V50+V53+V56+V59+V62+V65+V68+V71+V74+V77</f>
        <v>2991.6</v>
      </c>
      <c r="W31" s="141"/>
    </row>
    <row r="32" spans="1:23" s="55" customFormat="1" ht="22.5">
      <c r="A32" s="132">
        <v>1</v>
      </c>
      <c r="B32" s="523" t="s">
        <v>553</v>
      </c>
      <c r="C32" s="517" t="s">
        <v>791</v>
      </c>
      <c r="D32" s="137"/>
      <c r="E32" s="524" t="s">
        <v>576</v>
      </c>
      <c r="F32" s="524" t="s">
        <v>564</v>
      </c>
      <c r="G32" s="519">
        <v>1832</v>
      </c>
      <c r="H32" s="139">
        <f>+G32</f>
        <v>1832</v>
      </c>
      <c r="I32" s="148" t="e">
        <f>+#REF!+#REF!</f>
        <v>#REF!</v>
      </c>
      <c r="J32" s="148" t="e">
        <f>+#REF!+#REF!</f>
        <v>#REF!</v>
      </c>
      <c r="K32" s="250">
        <f aca="true" t="shared" si="11" ref="K32:V32">SUM(K33:K34)</f>
        <v>0</v>
      </c>
      <c r="L32" s="148">
        <f t="shared" si="11"/>
        <v>0</v>
      </c>
      <c r="M32" s="148">
        <f t="shared" si="11"/>
        <v>0</v>
      </c>
      <c r="N32" s="148">
        <f t="shared" si="11"/>
        <v>0</v>
      </c>
      <c r="O32" s="148">
        <f t="shared" si="11"/>
        <v>0</v>
      </c>
      <c r="P32" s="148">
        <f t="shared" si="11"/>
        <v>0</v>
      </c>
      <c r="Q32" s="148">
        <f t="shared" si="11"/>
        <v>0</v>
      </c>
      <c r="R32" s="148">
        <f t="shared" si="11"/>
        <v>0</v>
      </c>
      <c r="S32" s="148">
        <f t="shared" si="11"/>
        <v>0</v>
      </c>
      <c r="T32" s="148">
        <f t="shared" si="11"/>
        <v>0</v>
      </c>
      <c r="U32" s="522">
        <f t="shared" si="11"/>
        <v>11.9</v>
      </c>
      <c r="V32" s="522">
        <f t="shared" si="11"/>
        <v>11.9</v>
      </c>
      <c r="W32" s="138"/>
    </row>
    <row r="33" spans="1:23" s="56" customFormat="1" ht="22.5">
      <c r="A33" s="143"/>
      <c r="B33" s="155" t="s">
        <v>802</v>
      </c>
      <c r="C33" s="156"/>
      <c r="D33" s="156"/>
      <c r="E33" s="133"/>
      <c r="F33" s="140"/>
      <c r="G33" s="151"/>
      <c r="H33" s="525"/>
      <c r="I33" s="151">
        <f>+J33</f>
        <v>20670</v>
      </c>
      <c r="J33" s="151">
        <v>20670</v>
      </c>
      <c r="K33" s="151">
        <f>+L33</f>
        <v>0</v>
      </c>
      <c r="L33" s="151"/>
      <c r="M33" s="151">
        <f>+N33</f>
        <v>0</v>
      </c>
      <c r="N33" s="151"/>
      <c r="O33" s="151">
        <f>+P33</f>
        <v>0</v>
      </c>
      <c r="P33" s="151">
        <v>0</v>
      </c>
      <c r="Q33" s="151">
        <f>+R33</f>
        <v>0</v>
      </c>
      <c r="R33" s="151"/>
      <c r="S33" s="151">
        <f>+T33</f>
        <v>0</v>
      </c>
      <c r="T33" s="151">
        <v>0</v>
      </c>
      <c r="U33" s="521">
        <f>+V33</f>
        <v>11.9</v>
      </c>
      <c r="V33" s="521">
        <v>11.9</v>
      </c>
      <c r="W33" s="138"/>
    </row>
    <row r="34" spans="1:23" s="56" customFormat="1" ht="15" customHeight="1">
      <c r="A34" s="143"/>
      <c r="B34" s="155" t="s">
        <v>801</v>
      </c>
      <c r="C34" s="156"/>
      <c r="D34" s="156"/>
      <c r="E34" s="133"/>
      <c r="F34" s="140"/>
      <c r="G34" s="151"/>
      <c r="H34" s="525"/>
      <c r="I34" s="151">
        <f>+J34</f>
        <v>0</v>
      </c>
      <c r="J34" s="151"/>
      <c r="K34" s="151">
        <f>+L34</f>
        <v>0</v>
      </c>
      <c r="L34" s="151"/>
      <c r="M34" s="151">
        <f>+N34</f>
        <v>0</v>
      </c>
      <c r="N34" s="151"/>
      <c r="O34" s="151">
        <f>+P34</f>
        <v>0</v>
      </c>
      <c r="P34" s="151"/>
      <c r="Q34" s="151">
        <f>+R34</f>
        <v>0</v>
      </c>
      <c r="R34" s="151"/>
      <c r="S34" s="151">
        <f>+T34</f>
        <v>0</v>
      </c>
      <c r="T34" s="151"/>
      <c r="U34" s="151">
        <f>+V34</f>
        <v>0</v>
      </c>
      <c r="V34" s="151"/>
      <c r="W34" s="141"/>
    </row>
    <row r="35" spans="1:23" s="55" customFormat="1" ht="22.5">
      <c r="A35" s="132">
        <f>+A32+1</f>
        <v>2</v>
      </c>
      <c r="B35" s="523" t="s">
        <v>554</v>
      </c>
      <c r="C35" s="517" t="s">
        <v>764</v>
      </c>
      <c r="D35" s="137"/>
      <c r="E35" s="524" t="s">
        <v>577</v>
      </c>
      <c r="F35" s="518" t="s">
        <v>565</v>
      </c>
      <c r="G35" s="519">
        <v>6543</v>
      </c>
      <c r="H35" s="139">
        <f>+G35</f>
        <v>6543</v>
      </c>
      <c r="I35" s="148" t="e">
        <f>+#REF!+#REF!</f>
        <v>#REF!</v>
      </c>
      <c r="J35" s="148" t="e">
        <f>+#REF!+#REF!</f>
        <v>#REF!</v>
      </c>
      <c r="K35" s="250">
        <f aca="true" t="shared" si="12" ref="K35:V35">SUM(K36:K37)</f>
        <v>0</v>
      </c>
      <c r="L35" s="148">
        <f t="shared" si="12"/>
        <v>0</v>
      </c>
      <c r="M35" s="148">
        <f t="shared" si="12"/>
        <v>0</v>
      </c>
      <c r="N35" s="148">
        <f t="shared" si="12"/>
        <v>0</v>
      </c>
      <c r="O35" s="148">
        <f t="shared" si="12"/>
        <v>0</v>
      </c>
      <c r="P35" s="148">
        <f t="shared" si="12"/>
        <v>0</v>
      </c>
      <c r="Q35" s="148">
        <f t="shared" si="12"/>
        <v>0</v>
      </c>
      <c r="R35" s="148">
        <f t="shared" si="12"/>
        <v>0</v>
      </c>
      <c r="S35" s="148">
        <f t="shared" si="12"/>
        <v>0</v>
      </c>
      <c r="T35" s="148">
        <f t="shared" si="12"/>
        <v>0</v>
      </c>
      <c r="U35" s="522">
        <f t="shared" si="12"/>
        <v>197.7</v>
      </c>
      <c r="V35" s="522">
        <f t="shared" si="12"/>
        <v>197.7</v>
      </c>
      <c r="W35" s="138"/>
    </row>
    <row r="36" spans="1:23" s="56" customFormat="1" ht="22.5">
      <c r="A36" s="143"/>
      <c r="B36" s="155" t="s">
        <v>802</v>
      </c>
      <c r="C36" s="156"/>
      <c r="D36" s="156"/>
      <c r="E36" s="133"/>
      <c r="F36" s="140"/>
      <c r="G36" s="151"/>
      <c r="H36" s="525"/>
      <c r="I36" s="151">
        <f>+J36</f>
        <v>20670</v>
      </c>
      <c r="J36" s="151">
        <v>20670</v>
      </c>
      <c r="K36" s="151">
        <f>+L36</f>
        <v>0</v>
      </c>
      <c r="L36" s="151"/>
      <c r="M36" s="151">
        <f>+N36</f>
        <v>0</v>
      </c>
      <c r="N36" s="151"/>
      <c r="O36" s="151">
        <f>+P36</f>
        <v>0</v>
      </c>
      <c r="P36" s="151">
        <v>0</v>
      </c>
      <c r="Q36" s="151">
        <f>+R36</f>
        <v>0</v>
      </c>
      <c r="R36" s="151"/>
      <c r="S36" s="151">
        <f>+T36</f>
        <v>0</v>
      </c>
      <c r="T36" s="151">
        <v>0</v>
      </c>
      <c r="U36" s="521">
        <f>+V36</f>
        <v>197.7</v>
      </c>
      <c r="V36" s="521">
        <v>197.7</v>
      </c>
      <c r="W36" s="138"/>
    </row>
    <row r="37" spans="1:23" s="56" customFormat="1" ht="15" customHeight="1">
      <c r="A37" s="143"/>
      <c r="B37" s="155" t="s">
        <v>801</v>
      </c>
      <c r="C37" s="156"/>
      <c r="D37" s="156"/>
      <c r="E37" s="133"/>
      <c r="F37" s="140"/>
      <c r="G37" s="151"/>
      <c r="H37" s="525"/>
      <c r="I37" s="151">
        <f>+J37</f>
        <v>0</v>
      </c>
      <c r="J37" s="151"/>
      <c r="K37" s="151">
        <f>+L37</f>
        <v>0</v>
      </c>
      <c r="L37" s="151"/>
      <c r="M37" s="151">
        <f>+N37</f>
        <v>0</v>
      </c>
      <c r="N37" s="151"/>
      <c r="O37" s="151">
        <f>+P37</f>
        <v>0</v>
      </c>
      <c r="P37" s="151"/>
      <c r="Q37" s="151">
        <f>+R37</f>
        <v>0</v>
      </c>
      <c r="R37" s="151"/>
      <c r="S37" s="151">
        <f>+T37</f>
        <v>0</v>
      </c>
      <c r="T37" s="151"/>
      <c r="U37" s="151">
        <f>+V37</f>
        <v>0</v>
      </c>
      <c r="V37" s="151"/>
      <c r="W37" s="141"/>
    </row>
    <row r="38" spans="1:23" s="55" customFormat="1" ht="22.5">
      <c r="A38" s="132">
        <f>+A35+1</f>
        <v>3</v>
      </c>
      <c r="B38" s="523" t="s">
        <v>555</v>
      </c>
      <c r="C38" s="517" t="s">
        <v>956</v>
      </c>
      <c r="D38" s="137"/>
      <c r="E38" s="524" t="s">
        <v>578</v>
      </c>
      <c r="F38" s="524" t="s">
        <v>566</v>
      </c>
      <c r="G38" s="519">
        <v>1619</v>
      </c>
      <c r="H38" s="139">
        <f>+G38</f>
        <v>1619</v>
      </c>
      <c r="I38" s="148" t="e">
        <f>+#REF!+#REF!</f>
        <v>#REF!</v>
      </c>
      <c r="J38" s="148" t="e">
        <f>+#REF!+#REF!</f>
        <v>#REF!</v>
      </c>
      <c r="K38" s="250">
        <f aca="true" t="shared" si="13" ref="K38:V38">SUM(K39:K40)</f>
        <v>0</v>
      </c>
      <c r="L38" s="148">
        <f t="shared" si="13"/>
        <v>0</v>
      </c>
      <c r="M38" s="148">
        <f t="shared" si="13"/>
        <v>0</v>
      </c>
      <c r="N38" s="148">
        <f t="shared" si="13"/>
        <v>0</v>
      </c>
      <c r="O38" s="148">
        <f t="shared" si="13"/>
        <v>0</v>
      </c>
      <c r="P38" s="148">
        <f t="shared" si="13"/>
        <v>0</v>
      </c>
      <c r="Q38" s="148">
        <f t="shared" si="13"/>
        <v>0</v>
      </c>
      <c r="R38" s="148">
        <f t="shared" si="13"/>
        <v>0</v>
      </c>
      <c r="S38" s="148">
        <f t="shared" si="13"/>
        <v>0</v>
      </c>
      <c r="T38" s="148">
        <f t="shared" si="13"/>
        <v>0</v>
      </c>
      <c r="U38" s="522">
        <f t="shared" si="13"/>
        <v>70.3</v>
      </c>
      <c r="V38" s="522">
        <f t="shared" si="13"/>
        <v>70.3</v>
      </c>
      <c r="W38" s="138"/>
    </row>
    <row r="39" spans="1:23" s="56" customFormat="1" ht="22.5">
      <c r="A39" s="143"/>
      <c r="B39" s="155" t="s">
        <v>802</v>
      </c>
      <c r="C39" s="156"/>
      <c r="D39" s="156"/>
      <c r="E39" s="133"/>
      <c r="F39" s="140"/>
      <c r="G39" s="151"/>
      <c r="H39" s="525"/>
      <c r="I39" s="151">
        <f>+J39</f>
        <v>20670</v>
      </c>
      <c r="J39" s="151">
        <v>20670</v>
      </c>
      <c r="K39" s="151">
        <f>+L39</f>
        <v>0</v>
      </c>
      <c r="L39" s="151"/>
      <c r="M39" s="151">
        <f>+N39</f>
        <v>0</v>
      </c>
      <c r="N39" s="151"/>
      <c r="O39" s="151">
        <f>+P39</f>
        <v>0</v>
      </c>
      <c r="P39" s="151">
        <v>0</v>
      </c>
      <c r="Q39" s="151">
        <f>+R39</f>
        <v>0</v>
      </c>
      <c r="R39" s="151"/>
      <c r="S39" s="151">
        <f>+T39</f>
        <v>0</v>
      </c>
      <c r="T39" s="151">
        <v>0</v>
      </c>
      <c r="U39" s="521">
        <f>+V39</f>
        <v>70.3</v>
      </c>
      <c r="V39" s="521">
        <v>70.3</v>
      </c>
      <c r="W39" s="138"/>
    </row>
    <row r="40" spans="1:23" s="56" customFormat="1" ht="15" customHeight="1">
      <c r="A40" s="143"/>
      <c r="B40" s="155" t="s">
        <v>801</v>
      </c>
      <c r="C40" s="156"/>
      <c r="D40" s="156"/>
      <c r="E40" s="133"/>
      <c r="F40" s="140"/>
      <c r="G40" s="151"/>
      <c r="H40" s="525"/>
      <c r="I40" s="151">
        <f>+J40</f>
        <v>0</v>
      </c>
      <c r="J40" s="151"/>
      <c r="K40" s="151">
        <f>+L40</f>
        <v>0</v>
      </c>
      <c r="L40" s="151"/>
      <c r="M40" s="151">
        <f>+N40</f>
        <v>0</v>
      </c>
      <c r="N40" s="151"/>
      <c r="O40" s="151">
        <f>+P40</f>
        <v>0</v>
      </c>
      <c r="P40" s="151"/>
      <c r="Q40" s="151">
        <f>+R40</f>
        <v>0</v>
      </c>
      <c r="R40" s="151"/>
      <c r="S40" s="151">
        <f>+T40</f>
        <v>0</v>
      </c>
      <c r="T40" s="151"/>
      <c r="U40" s="151">
        <f>+V40</f>
        <v>0</v>
      </c>
      <c r="V40" s="151"/>
      <c r="W40" s="141"/>
    </row>
    <row r="41" spans="1:23" s="55" customFormat="1" ht="22.5">
      <c r="A41" s="132">
        <f>+A38+1</f>
        <v>4</v>
      </c>
      <c r="B41" s="523" t="s">
        <v>556</v>
      </c>
      <c r="C41" s="517" t="s">
        <v>780</v>
      </c>
      <c r="D41" s="137"/>
      <c r="E41" s="524" t="s">
        <v>579</v>
      </c>
      <c r="F41" s="518" t="s">
        <v>568</v>
      </c>
      <c r="G41" s="519">
        <v>8359.1</v>
      </c>
      <c r="H41" s="139">
        <f>+G41</f>
        <v>8359.1</v>
      </c>
      <c r="I41" s="148" t="e">
        <f>+#REF!+#REF!</f>
        <v>#REF!</v>
      </c>
      <c r="J41" s="148" t="e">
        <f>+#REF!+#REF!</f>
        <v>#REF!</v>
      </c>
      <c r="K41" s="250">
        <f aca="true" t="shared" si="14" ref="K41:V41">SUM(K42:K43)</f>
        <v>0</v>
      </c>
      <c r="L41" s="148">
        <f t="shared" si="14"/>
        <v>0</v>
      </c>
      <c r="M41" s="148">
        <f t="shared" si="14"/>
        <v>0</v>
      </c>
      <c r="N41" s="148">
        <f t="shared" si="14"/>
        <v>0</v>
      </c>
      <c r="O41" s="148">
        <f t="shared" si="14"/>
        <v>0</v>
      </c>
      <c r="P41" s="148">
        <f t="shared" si="14"/>
        <v>0</v>
      </c>
      <c r="Q41" s="148">
        <f t="shared" si="14"/>
        <v>0</v>
      </c>
      <c r="R41" s="148">
        <f t="shared" si="14"/>
        <v>0</v>
      </c>
      <c r="S41" s="148">
        <f t="shared" si="14"/>
        <v>0</v>
      </c>
      <c r="T41" s="148">
        <f t="shared" si="14"/>
        <v>0</v>
      </c>
      <c r="U41" s="522">
        <f t="shared" si="14"/>
        <v>68.9</v>
      </c>
      <c r="V41" s="522">
        <f t="shared" si="14"/>
        <v>68.9</v>
      </c>
      <c r="W41" s="138"/>
    </row>
    <row r="42" spans="1:23" s="56" customFormat="1" ht="22.5">
      <c r="A42" s="143"/>
      <c r="B42" s="155" t="s">
        <v>802</v>
      </c>
      <c r="C42" s="156"/>
      <c r="D42" s="156"/>
      <c r="E42" s="133"/>
      <c r="F42" s="140"/>
      <c r="G42" s="151"/>
      <c r="H42" s="525"/>
      <c r="I42" s="151">
        <f>+J42</f>
        <v>20670</v>
      </c>
      <c r="J42" s="151">
        <v>20670</v>
      </c>
      <c r="K42" s="151">
        <f>+L42</f>
        <v>0</v>
      </c>
      <c r="L42" s="151"/>
      <c r="M42" s="151">
        <f>+N42</f>
        <v>0</v>
      </c>
      <c r="N42" s="151"/>
      <c r="O42" s="151">
        <f>+P42</f>
        <v>0</v>
      </c>
      <c r="P42" s="151">
        <v>0</v>
      </c>
      <c r="Q42" s="151">
        <f>+R42</f>
        <v>0</v>
      </c>
      <c r="R42" s="151"/>
      <c r="S42" s="151">
        <f>+T42</f>
        <v>0</v>
      </c>
      <c r="T42" s="151">
        <v>0</v>
      </c>
      <c r="U42" s="521">
        <f>+V42</f>
        <v>68.9</v>
      </c>
      <c r="V42" s="521">
        <v>68.9</v>
      </c>
      <c r="W42" s="138"/>
    </row>
    <row r="43" spans="1:23" s="56" customFormat="1" ht="15" customHeight="1">
      <c r="A43" s="143"/>
      <c r="B43" s="155" t="s">
        <v>801</v>
      </c>
      <c r="C43" s="156"/>
      <c r="D43" s="156"/>
      <c r="E43" s="133"/>
      <c r="F43" s="140"/>
      <c r="G43" s="151"/>
      <c r="H43" s="525"/>
      <c r="I43" s="151">
        <f>+J43</f>
        <v>0</v>
      </c>
      <c r="J43" s="151"/>
      <c r="K43" s="151">
        <f>+L43</f>
        <v>0</v>
      </c>
      <c r="L43" s="151"/>
      <c r="M43" s="151">
        <f>+N43</f>
        <v>0</v>
      </c>
      <c r="N43" s="151"/>
      <c r="O43" s="151">
        <f>+P43</f>
        <v>0</v>
      </c>
      <c r="P43" s="151"/>
      <c r="Q43" s="151">
        <f>+R43</f>
        <v>0</v>
      </c>
      <c r="R43" s="151"/>
      <c r="S43" s="151">
        <f>+T43</f>
        <v>0</v>
      </c>
      <c r="T43" s="151"/>
      <c r="U43" s="151">
        <f>+V43</f>
        <v>0</v>
      </c>
      <c r="V43" s="151"/>
      <c r="W43" s="141"/>
    </row>
    <row r="44" spans="1:23" s="55" customFormat="1" ht="22.5">
      <c r="A44" s="132">
        <f>+A41+1</f>
        <v>5</v>
      </c>
      <c r="B44" s="523" t="s">
        <v>557</v>
      </c>
      <c r="C44" s="517" t="s">
        <v>774</v>
      </c>
      <c r="D44" s="137"/>
      <c r="E44" s="524" t="s">
        <v>580</v>
      </c>
      <c r="F44" s="518" t="s">
        <v>569</v>
      </c>
      <c r="G44" s="519">
        <v>1918.7</v>
      </c>
      <c r="H44" s="139">
        <f>+G44</f>
        <v>1918.7</v>
      </c>
      <c r="I44" s="148" t="e">
        <f>+#REF!+#REF!</f>
        <v>#REF!</v>
      </c>
      <c r="J44" s="148" t="e">
        <f>+#REF!+#REF!</f>
        <v>#REF!</v>
      </c>
      <c r="K44" s="250">
        <f aca="true" t="shared" si="15" ref="K44:V44">SUM(K45:K46)</f>
        <v>0</v>
      </c>
      <c r="L44" s="148">
        <f t="shared" si="15"/>
        <v>0</v>
      </c>
      <c r="M44" s="148">
        <f t="shared" si="15"/>
        <v>0</v>
      </c>
      <c r="N44" s="148">
        <f t="shared" si="15"/>
        <v>0</v>
      </c>
      <c r="O44" s="148">
        <f t="shared" si="15"/>
        <v>0</v>
      </c>
      <c r="P44" s="148">
        <f t="shared" si="15"/>
        <v>0</v>
      </c>
      <c r="Q44" s="148">
        <f t="shared" si="15"/>
        <v>0</v>
      </c>
      <c r="R44" s="148">
        <f t="shared" si="15"/>
        <v>0</v>
      </c>
      <c r="S44" s="148">
        <f t="shared" si="15"/>
        <v>0</v>
      </c>
      <c r="T44" s="148">
        <f t="shared" si="15"/>
        <v>0</v>
      </c>
      <c r="U44" s="522">
        <f t="shared" si="15"/>
        <v>203.4</v>
      </c>
      <c r="V44" s="522">
        <f t="shared" si="15"/>
        <v>203.4</v>
      </c>
      <c r="W44" s="138"/>
    </row>
    <row r="45" spans="1:23" s="56" customFormat="1" ht="22.5">
      <c r="A45" s="143"/>
      <c r="B45" s="155" t="s">
        <v>802</v>
      </c>
      <c r="C45" s="156"/>
      <c r="D45" s="156"/>
      <c r="E45" s="133"/>
      <c r="F45" s="140"/>
      <c r="G45" s="151"/>
      <c r="H45" s="525"/>
      <c r="I45" s="151">
        <f>+J45</f>
        <v>20670</v>
      </c>
      <c r="J45" s="151">
        <v>20670</v>
      </c>
      <c r="K45" s="151">
        <f>+L45</f>
        <v>0</v>
      </c>
      <c r="L45" s="151"/>
      <c r="M45" s="151">
        <f>+N45</f>
        <v>0</v>
      </c>
      <c r="N45" s="151"/>
      <c r="O45" s="151">
        <f>+P45</f>
        <v>0</v>
      </c>
      <c r="P45" s="151">
        <v>0</v>
      </c>
      <c r="Q45" s="151">
        <f>+R45</f>
        <v>0</v>
      </c>
      <c r="R45" s="151"/>
      <c r="S45" s="151">
        <f>+T45</f>
        <v>0</v>
      </c>
      <c r="T45" s="151">
        <v>0</v>
      </c>
      <c r="U45" s="521">
        <f>+V45</f>
        <v>203.4</v>
      </c>
      <c r="V45" s="521">
        <v>203.4</v>
      </c>
      <c r="W45" s="138"/>
    </row>
    <row r="46" spans="1:23" s="56" customFormat="1" ht="15" customHeight="1">
      <c r="A46" s="143"/>
      <c r="B46" s="155" t="s">
        <v>801</v>
      </c>
      <c r="C46" s="156"/>
      <c r="D46" s="156"/>
      <c r="E46" s="133"/>
      <c r="F46" s="140"/>
      <c r="G46" s="151"/>
      <c r="H46" s="525"/>
      <c r="I46" s="151">
        <f>+J46</f>
        <v>0</v>
      </c>
      <c r="J46" s="151"/>
      <c r="K46" s="151">
        <f>+L46</f>
        <v>0</v>
      </c>
      <c r="L46" s="151"/>
      <c r="M46" s="151">
        <f>+N46</f>
        <v>0</v>
      </c>
      <c r="N46" s="151"/>
      <c r="O46" s="151">
        <f>+P46</f>
        <v>0</v>
      </c>
      <c r="P46" s="151"/>
      <c r="Q46" s="151">
        <f>+R46</f>
        <v>0</v>
      </c>
      <c r="R46" s="151"/>
      <c r="S46" s="151">
        <f>+T46</f>
        <v>0</v>
      </c>
      <c r="T46" s="151"/>
      <c r="U46" s="151">
        <f>+V46</f>
        <v>0</v>
      </c>
      <c r="V46" s="151"/>
      <c r="W46" s="141"/>
    </row>
    <row r="47" spans="1:23" s="55" customFormat="1" ht="45">
      <c r="A47" s="132">
        <f>+A44+1</f>
        <v>6</v>
      </c>
      <c r="B47" s="523" t="s">
        <v>558</v>
      </c>
      <c r="C47" s="517" t="s">
        <v>958</v>
      </c>
      <c r="D47" s="137"/>
      <c r="E47" s="524" t="s">
        <v>581</v>
      </c>
      <c r="F47" s="524" t="s">
        <v>570</v>
      </c>
      <c r="G47" s="519">
        <v>5860.5</v>
      </c>
      <c r="H47" s="139">
        <f>+G47</f>
        <v>5860.5</v>
      </c>
      <c r="I47" s="148" t="e">
        <f>+#REF!+#REF!</f>
        <v>#REF!</v>
      </c>
      <c r="J47" s="148" t="e">
        <f>+#REF!+#REF!</f>
        <v>#REF!</v>
      </c>
      <c r="K47" s="250">
        <f aca="true" t="shared" si="16" ref="K47:V47">SUM(K48:K49)</f>
        <v>0</v>
      </c>
      <c r="L47" s="148">
        <f t="shared" si="16"/>
        <v>0</v>
      </c>
      <c r="M47" s="148">
        <f t="shared" si="16"/>
        <v>0</v>
      </c>
      <c r="N47" s="148">
        <f t="shared" si="16"/>
        <v>0</v>
      </c>
      <c r="O47" s="148">
        <f t="shared" si="16"/>
        <v>0</v>
      </c>
      <c r="P47" s="148">
        <f t="shared" si="16"/>
        <v>0</v>
      </c>
      <c r="Q47" s="148">
        <f t="shared" si="16"/>
        <v>0</v>
      </c>
      <c r="R47" s="148">
        <f t="shared" si="16"/>
        <v>0</v>
      </c>
      <c r="S47" s="148">
        <f t="shared" si="16"/>
        <v>0</v>
      </c>
      <c r="T47" s="148">
        <f t="shared" si="16"/>
        <v>0</v>
      </c>
      <c r="U47" s="522">
        <f t="shared" si="16"/>
        <v>368</v>
      </c>
      <c r="V47" s="522">
        <f t="shared" si="16"/>
        <v>368</v>
      </c>
      <c r="W47" s="138"/>
    </row>
    <row r="48" spans="1:23" s="56" customFormat="1" ht="22.5">
      <c r="A48" s="143"/>
      <c r="B48" s="155" t="s">
        <v>802</v>
      </c>
      <c r="C48" s="156"/>
      <c r="D48" s="156"/>
      <c r="E48" s="133"/>
      <c r="F48" s="140"/>
      <c r="G48" s="151"/>
      <c r="H48" s="525"/>
      <c r="I48" s="151">
        <f>+J48</f>
        <v>20670</v>
      </c>
      <c r="J48" s="151">
        <v>20670</v>
      </c>
      <c r="K48" s="151">
        <f>+L48</f>
        <v>0</v>
      </c>
      <c r="L48" s="151"/>
      <c r="M48" s="151">
        <f>+N48</f>
        <v>0</v>
      </c>
      <c r="N48" s="151"/>
      <c r="O48" s="151">
        <f>+P48</f>
        <v>0</v>
      </c>
      <c r="P48" s="151">
        <v>0</v>
      </c>
      <c r="Q48" s="151">
        <f>+R48</f>
        <v>0</v>
      </c>
      <c r="R48" s="151"/>
      <c r="S48" s="151">
        <f>+T48</f>
        <v>0</v>
      </c>
      <c r="T48" s="151">
        <v>0</v>
      </c>
      <c r="U48" s="521">
        <f>+V48</f>
        <v>368</v>
      </c>
      <c r="V48" s="521">
        <v>368</v>
      </c>
      <c r="W48" s="138"/>
    </row>
    <row r="49" spans="1:23" s="56" customFormat="1" ht="15" customHeight="1">
      <c r="A49" s="143"/>
      <c r="B49" s="155" t="s">
        <v>801</v>
      </c>
      <c r="C49" s="156"/>
      <c r="D49" s="156"/>
      <c r="E49" s="133"/>
      <c r="F49" s="140"/>
      <c r="G49" s="151"/>
      <c r="H49" s="525"/>
      <c r="I49" s="151">
        <f>+J49</f>
        <v>0</v>
      </c>
      <c r="J49" s="151"/>
      <c r="K49" s="151">
        <f>+L49</f>
        <v>0</v>
      </c>
      <c r="L49" s="151"/>
      <c r="M49" s="151">
        <f>+N49</f>
        <v>0</v>
      </c>
      <c r="N49" s="151"/>
      <c r="O49" s="151">
        <f>+P49</f>
        <v>0</v>
      </c>
      <c r="P49" s="151"/>
      <c r="Q49" s="151">
        <f>+R49</f>
        <v>0</v>
      </c>
      <c r="R49" s="151"/>
      <c r="S49" s="151">
        <f>+T49</f>
        <v>0</v>
      </c>
      <c r="T49" s="151"/>
      <c r="U49" s="151">
        <f>+V49</f>
        <v>0</v>
      </c>
      <c r="V49" s="151"/>
      <c r="W49" s="141"/>
    </row>
    <row r="50" spans="1:23" s="55" customFormat="1" ht="45">
      <c r="A50" s="132">
        <f>+A47+1</f>
        <v>7</v>
      </c>
      <c r="B50" s="523" t="s">
        <v>559</v>
      </c>
      <c r="C50" s="517" t="s">
        <v>779</v>
      </c>
      <c r="D50" s="137"/>
      <c r="E50" s="524" t="s">
        <v>579</v>
      </c>
      <c r="F50" s="518" t="s">
        <v>571</v>
      </c>
      <c r="G50" s="519">
        <v>6524.3</v>
      </c>
      <c r="H50" s="139">
        <f>+G50</f>
        <v>6524.3</v>
      </c>
      <c r="I50" s="148" t="e">
        <f>+#REF!+#REF!</f>
        <v>#REF!</v>
      </c>
      <c r="J50" s="148" t="e">
        <f>+#REF!+#REF!</f>
        <v>#REF!</v>
      </c>
      <c r="K50" s="250">
        <f aca="true" t="shared" si="17" ref="K50:V50">SUM(K51:K52)</f>
        <v>0</v>
      </c>
      <c r="L50" s="148">
        <f t="shared" si="17"/>
        <v>0</v>
      </c>
      <c r="M50" s="148">
        <f t="shared" si="17"/>
        <v>0</v>
      </c>
      <c r="N50" s="148">
        <f t="shared" si="17"/>
        <v>0</v>
      </c>
      <c r="O50" s="148">
        <f t="shared" si="17"/>
        <v>0</v>
      </c>
      <c r="P50" s="148">
        <f t="shared" si="17"/>
        <v>0</v>
      </c>
      <c r="Q50" s="148">
        <f t="shared" si="17"/>
        <v>0</v>
      </c>
      <c r="R50" s="148">
        <f t="shared" si="17"/>
        <v>0</v>
      </c>
      <c r="S50" s="148">
        <f t="shared" si="17"/>
        <v>0</v>
      </c>
      <c r="T50" s="148">
        <f t="shared" si="17"/>
        <v>0</v>
      </c>
      <c r="U50" s="522">
        <f t="shared" si="17"/>
        <v>120.1</v>
      </c>
      <c r="V50" s="522">
        <f t="shared" si="17"/>
        <v>120.1</v>
      </c>
      <c r="W50" s="138"/>
    </row>
    <row r="51" spans="1:23" s="56" customFormat="1" ht="22.5">
      <c r="A51" s="143"/>
      <c r="B51" s="155" t="s">
        <v>802</v>
      </c>
      <c r="C51" s="156"/>
      <c r="D51" s="156"/>
      <c r="E51" s="133"/>
      <c r="F51" s="140"/>
      <c r="G51" s="151"/>
      <c r="H51" s="525"/>
      <c r="I51" s="151">
        <f>+J51</f>
        <v>20670</v>
      </c>
      <c r="J51" s="151">
        <v>20670</v>
      </c>
      <c r="K51" s="151">
        <f>+L51</f>
        <v>0</v>
      </c>
      <c r="L51" s="151"/>
      <c r="M51" s="151">
        <f>+N51</f>
        <v>0</v>
      </c>
      <c r="N51" s="151"/>
      <c r="O51" s="151">
        <f>+P51</f>
        <v>0</v>
      </c>
      <c r="P51" s="151">
        <v>0</v>
      </c>
      <c r="Q51" s="151">
        <f>+R51</f>
        <v>0</v>
      </c>
      <c r="R51" s="151"/>
      <c r="S51" s="151">
        <f>+T51</f>
        <v>0</v>
      </c>
      <c r="T51" s="151">
        <v>0</v>
      </c>
      <c r="U51" s="521">
        <f>+V51</f>
        <v>120.1</v>
      </c>
      <c r="V51" s="521">
        <v>120.1</v>
      </c>
      <c r="W51" s="138"/>
    </row>
    <row r="52" spans="1:23" s="56" customFormat="1" ht="15" customHeight="1">
      <c r="A52" s="143"/>
      <c r="B52" s="155" t="s">
        <v>801</v>
      </c>
      <c r="C52" s="156"/>
      <c r="D52" s="156"/>
      <c r="E52" s="133"/>
      <c r="F52" s="140"/>
      <c r="G52" s="151"/>
      <c r="H52" s="525"/>
      <c r="I52" s="151">
        <f>+J52</f>
        <v>0</v>
      </c>
      <c r="J52" s="151"/>
      <c r="K52" s="151">
        <f>+L52</f>
        <v>0</v>
      </c>
      <c r="L52" s="151"/>
      <c r="M52" s="151">
        <f>+N52</f>
        <v>0</v>
      </c>
      <c r="N52" s="151"/>
      <c r="O52" s="151">
        <f>+P52</f>
        <v>0</v>
      </c>
      <c r="P52" s="151"/>
      <c r="Q52" s="151">
        <f>+R52</f>
        <v>0</v>
      </c>
      <c r="R52" s="151"/>
      <c r="S52" s="151">
        <f>+T52</f>
        <v>0</v>
      </c>
      <c r="T52" s="151"/>
      <c r="U52" s="151">
        <f>+V52</f>
        <v>0</v>
      </c>
      <c r="V52" s="151"/>
      <c r="W52" s="141"/>
    </row>
    <row r="53" spans="1:23" s="55" customFormat="1" ht="22.5">
      <c r="A53" s="132">
        <f>+A50+1</f>
        <v>8</v>
      </c>
      <c r="B53" s="523" t="s">
        <v>560</v>
      </c>
      <c r="C53" s="517" t="s">
        <v>779</v>
      </c>
      <c r="D53" s="137"/>
      <c r="E53" s="524" t="s">
        <v>805</v>
      </c>
      <c r="F53" s="518" t="s">
        <v>572</v>
      </c>
      <c r="G53" s="519">
        <v>5630.1</v>
      </c>
      <c r="H53" s="139">
        <f>+G53</f>
        <v>5630.1</v>
      </c>
      <c r="I53" s="148" t="e">
        <f>+#REF!+#REF!</f>
        <v>#REF!</v>
      </c>
      <c r="J53" s="148" t="e">
        <f>+#REF!+#REF!</f>
        <v>#REF!</v>
      </c>
      <c r="K53" s="250">
        <f aca="true" t="shared" si="18" ref="K53:V53">SUM(K54:K55)</f>
        <v>0</v>
      </c>
      <c r="L53" s="148">
        <f t="shared" si="18"/>
        <v>0</v>
      </c>
      <c r="M53" s="148">
        <f t="shared" si="18"/>
        <v>0</v>
      </c>
      <c r="N53" s="148">
        <f t="shared" si="18"/>
        <v>0</v>
      </c>
      <c r="O53" s="148">
        <f t="shared" si="18"/>
        <v>0</v>
      </c>
      <c r="P53" s="148">
        <f t="shared" si="18"/>
        <v>0</v>
      </c>
      <c r="Q53" s="148">
        <f t="shared" si="18"/>
        <v>0</v>
      </c>
      <c r="R53" s="148">
        <f t="shared" si="18"/>
        <v>0</v>
      </c>
      <c r="S53" s="148">
        <f t="shared" si="18"/>
        <v>0</v>
      </c>
      <c r="T53" s="148">
        <f t="shared" si="18"/>
        <v>0</v>
      </c>
      <c r="U53" s="522">
        <f t="shared" si="18"/>
        <v>233.8</v>
      </c>
      <c r="V53" s="522">
        <f t="shared" si="18"/>
        <v>233.8</v>
      </c>
      <c r="W53" s="138"/>
    </row>
    <row r="54" spans="1:23" s="56" customFormat="1" ht="22.5">
      <c r="A54" s="143"/>
      <c r="B54" s="155" t="s">
        <v>802</v>
      </c>
      <c r="C54" s="156"/>
      <c r="D54" s="156"/>
      <c r="E54" s="133"/>
      <c r="F54" s="140"/>
      <c r="G54" s="151"/>
      <c r="H54" s="525"/>
      <c r="I54" s="151">
        <f>+J54</f>
        <v>20670</v>
      </c>
      <c r="J54" s="151">
        <v>20670</v>
      </c>
      <c r="K54" s="151">
        <f>+L54</f>
        <v>0</v>
      </c>
      <c r="L54" s="151"/>
      <c r="M54" s="151">
        <f>+N54</f>
        <v>0</v>
      </c>
      <c r="N54" s="151"/>
      <c r="O54" s="151">
        <f>+P54</f>
        <v>0</v>
      </c>
      <c r="P54" s="151">
        <v>0</v>
      </c>
      <c r="Q54" s="151">
        <f>+R54</f>
        <v>0</v>
      </c>
      <c r="R54" s="151"/>
      <c r="S54" s="151">
        <f>+T54</f>
        <v>0</v>
      </c>
      <c r="T54" s="151">
        <v>0</v>
      </c>
      <c r="U54" s="521">
        <f>+V54</f>
        <v>233.8</v>
      </c>
      <c r="V54" s="521">
        <v>233.8</v>
      </c>
      <c r="W54" s="138"/>
    </row>
    <row r="55" spans="1:23" s="56" customFormat="1" ht="15" customHeight="1">
      <c r="A55" s="143"/>
      <c r="B55" s="155" t="s">
        <v>801</v>
      </c>
      <c r="C55" s="156"/>
      <c r="D55" s="156"/>
      <c r="E55" s="133"/>
      <c r="F55" s="140"/>
      <c r="G55" s="151"/>
      <c r="H55" s="525"/>
      <c r="I55" s="151">
        <f>+J55</f>
        <v>0</v>
      </c>
      <c r="J55" s="151"/>
      <c r="K55" s="151">
        <f>+L55</f>
        <v>0</v>
      </c>
      <c r="L55" s="151"/>
      <c r="M55" s="151">
        <f>+N55</f>
        <v>0</v>
      </c>
      <c r="N55" s="151"/>
      <c r="O55" s="151">
        <f>+P55</f>
        <v>0</v>
      </c>
      <c r="P55" s="151"/>
      <c r="Q55" s="151">
        <f>+R55</f>
        <v>0</v>
      </c>
      <c r="R55" s="151"/>
      <c r="S55" s="151">
        <f>+T55</f>
        <v>0</v>
      </c>
      <c r="T55" s="151"/>
      <c r="U55" s="151">
        <f>+V55</f>
        <v>0</v>
      </c>
      <c r="V55" s="151"/>
      <c r="W55" s="141"/>
    </row>
    <row r="56" spans="1:23" s="55" customFormat="1" ht="45">
      <c r="A56" s="132">
        <f>+A53+1</f>
        <v>9</v>
      </c>
      <c r="B56" s="523" t="s">
        <v>561</v>
      </c>
      <c r="C56" s="517" t="s">
        <v>957</v>
      </c>
      <c r="D56" s="137"/>
      <c r="E56" s="53">
        <v>2011</v>
      </c>
      <c r="F56" s="518" t="s">
        <v>573</v>
      </c>
      <c r="G56" s="519">
        <v>2600</v>
      </c>
      <c r="H56" s="139">
        <f>+G56</f>
        <v>2600</v>
      </c>
      <c r="I56" s="148" t="e">
        <f>+#REF!+#REF!</f>
        <v>#REF!</v>
      </c>
      <c r="J56" s="148" t="e">
        <f>+#REF!+#REF!</f>
        <v>#REF!</v>
      </c>
      <c r="K56" s="250">
        <f aca="true" t="shared" si="19" ref="K56:V56">SUM(K57:K58)</f>
        <v>0</v>
      </c>
      <c r="L56" s="148">
        <f t="shared" si="19"/>
        <v>0</v>
      </c>
      <c r="M56" s="148">
        <f t="shared" si="19"/>
        <v>0</v>
      </c>
      <c r="N56" s="148">
        <f t="shared" si="19"/>
        <v>0</v>
      </c>
      <c r="O56" s="148">
        <f t="shared" si="19"/>
        <v>0</v>
      </c>
      <c r="P56" s="148">
        <f t="shared" si="19"/>
        <v>0</v>
      </c>
      <c r="Q56" s="148">
        <f t="shared" si="19"/>
        <v>0</v>
      </c>
      <c r="R56" s="148">
        <f t="shared" si="19"/>
        <v>0</v>
      </c>
      <c r="S56" s="148">
        <f t="shared" si="19"/>
        <v>0</v>
      </c>
      <c r="T56" s="148">
        <f t="shared" si="19"/>
        <v>0</v>
      </c>
      <c r="U56" s="522">
        <f t="shared" si="19"/>
        <v>331.4</v>
      </c>
      <c r="V56" s="522">
        <f t="shared" si="19"/>
        <v>331.4</v>
      </c>
      <c r="W56" s="138"/>
    </row>
    <row r="57" spans="1:23" s="56" customFormat="1" ht="22.5">
      <c r="A57" s="143"/>
      <c r="B57" s="155" t="s">
        <v>802</v>
      </c>
      <c r="C57" s="156"/>
      <c r="D57" s="156"/>
      <c r="E57" s="133"/>
      <c r="F57" s="140"/>
      <c r="G57" s="151"/>
      <c r="H57" s="525"/>
      <c r="I57" s="151">
        <f>+J57</f>
        <v>20670</v>
      </c>
      <c r="J57" s="151">
        <v>20670</v>
      </c>
      <c r="K57" s="151">
        <f>+L57</f>
        <v>0</v>
      </c>
      <c r="L57" s="151"/>
      <c r="M57" s="151">
        <f>+N57</f>
        <v>0</v>
      </c>
      <c r="N57" s="151"/>
      <c r="O57" s="151">
        <f>+P57</f>
        <v>0</v>
      </c>
      <c r="P57" s="151">
        <v>0</v>
      </c>
      <c r="Q57" s="151">
        <f>+R57</f>
        <v>0</v>
      </c>
      <c r="R57" s="151"/>
      <c r="S57" s="151">
        <f>+T57</f>
        <v>0</v>
      </c>
      <c r="T57" s="151">
        <v>0</v>
      </c>
      <c r="U57" s="521">
        <f>+V57</f>
        <v>331.4</v>
      </c>
      <c r="V57" s="521">
        <v>331.4</v>
      </c>
      <c r="W57" s="138"/>
    </row>
    <row r="58" spans="1:23" s="56" customFormat="1" ht="15" customHeight="1">
      <c r="A58" s="143"/>
      <c r="B58" s="155" t="s">
        <v>801</v>
      </c>
      <c r="C58" s="156"/>
      <c r="D58" s="156"/>
      <c r="E58" s="133"/>
      <c r="F58" s="140"/>
      <c r="G58" s="151"/>
      <c r="H58" s="525"/>
      <c r="I58" s="151">
        <f>+J58</f>
        <v>0</v>
      </c>
      <c r="J58" s="151"/>
      <c r="K58" s="151">
        <f>+L58</f>
        <v>0</v>
      </c>
      <c r="L58" s="151"/>
      <c r="M58" s="151">
        <f>+N58</f>
        <v>0</v>
      </c>
      <c r="N58" s="151"/>
      <c r="O58" s="151">
        <f>+P58</f>
        <v>0</v>
      </c>
      <c r="P58" s="151"/>
      <c r="Q58" s="151">
        <f>+R58</f>
        <v>0</v>
      </c>
      <c r="R58" s="151"/>
      <c r="S58" s="151">
        <f>+T58</f>
        <v>0</v>
      </c>
      <c r="T58" s="151"/>
      <c r="U58" s="151">
        <f>+V58</f>
        <v>0</v>
      </c>
      <c r="V58" s="151"/>
      <c r="W58" s="141"/>
    </row>
    <row r="59" spans="1:23" s="55" customFormat="1" ht="45">
      <c r="A59" s="132">
        <f>+A56+1</f>
        <v>10</v>
      </c>
      <c r="B59" s="523" t="s">
        <v>562</v>
      </c>
      <c r="C59" s="517" t="s">
        <v>764</v>
      </c>
      <c r="D59" s="137"/>
      <c r="E59" s="524" t="s">
        <v>583</v>
      </c>
      <c r="F59" s="518" t="s">
        <v>574</v>
      </c>
      <c r="G59" s="519">
        <v>21832</v>
      </c>
      <c r="H59" s="139">
        <f>+G59</f>
        <v>21832</v>
      </c>
      <c r="I59" s="148" t="e">
        <f>+#REF!+#REF!</f>
        <v>#REF!</v>
      </c>
      <c r="J59" s="148" t="e">
        <f>+#REF!+#REF!</f>
        <v>#REF!</v>
      </c>
      <c r="K59" s="250">
        <f aca="true" t="shared" si="20" ref="K59:V59">SUM(K60:K61)</f>
        <v>0</v>
      </c>
      <c r="L59" s="148">
        <f t="shared" si="20"/>
        <v>0</v>
      </c>
      <c r="M59" s="148">
        <f t="shared" si="20"/>
        <v>0</v>
      </c>
      <c r="N59" s="148">
        <f t="shared" si="20"/>
        <v>0</v>
      </c>
      <c r="O59" s="148">
        <f t="shared" si="20"/>
        <v>0</v>
      </c>
      <c r="P59" s="148">
        <f t="shared" si="20"/>
        <v>0</v>
      </c>
      <c r="Q59" s="148">
        <f t="shared" si="20"/>
        <v>0</v>
      </c>
      <c r="R59" s="148">
        <f t="shared" si="20"/>
        <v>0</v>
      </c>
      <c r="S59" s="148">
        <f t="shared" si="20"/>
        <v>0</v>
      </c>
      <c r="T59" s="148">
        <f t="shared" si="20"/>
        <v>0</v>
      </c>
      <c r="U59" s="522">
        <f t="shared" si="20"/>
        <v>318.1</v>
      </c>
      <c r="V59" s="522">
        <f t="shared" si="20"/>
        <v>318.1</v>
      </c>
      <c r="W59" s="138"/>
    </row>
    <row r="60" spans="1:23" s="56" customFormat="1" ht="22.5">
      <c r="A60" s="143"/>
      <c r="B60" s="155" t="s">
        <v>802</v>
      </c>
      <c r="C60" s="156"/>
      <c r="D60" s="156"/>
      <c r="E60" s="133"/>
      <c r="F60" s="140"/>
      <c r="G60" s="151"/>
      <c r="H60" s="525"/>
      <c r="I60" s="151">
        <f>+J60</f>
        <v>20670</v>
      </c>
      <c r="J60" s="151">
        <v>20670</v>
      </c>
      <c r="K60" s="151">
        <f>+L60</f>
        <v>0</v>
      </c>
      <c r="L60" s="151"/>
      <c r="M60" s="151">
        <f>+N60</f>
        <v>0</v>
      </c>
      <c r="N60" s="151"/>
      <c r="O60" s="151">
        <f>+P60</f>
        <v>0</v>
      </c>
      <c r="P60" s="151">
        <v>0</v>
      </c>
      <c r="Q60" s="151">
        <f>+R60</f>
        <v>0</v>
      </c>
      <c r="R60" s="151"/>
      <c r="S60" s="151">
        <f>+T60</f>
        <v>0</v>
      </c>
      <c r="T60" s="151">
        <v>0</v>
      </c>
      <c r="U60" s="521">
        <f>+V60</f>
        <v>318.1</v>
      </c>
      <c r="V60" s="521">
        <v>318.1</v>
      </c>
      <c r="W60" s="138"/>
    </row>
    <row r="61" spans="1:23" s="56" customFormat="1" ht="15" customHeight="1">
      <c r="A61" s="143"/>
      <c r="B61" s="155" t="s">
        <v>801</v>
      </c>
      <c r="C61" s="156"/>
      <c r="D61" s="156"/>
      <c r="E61" s="133"/>
      <c r="F61" s="140"/>
      <c r="G61" s="151"/>
      <c r="H61" s="525"/>
      <c r="I61" s="151">
        <f>+J61</f>
        <v>0</v>
      </c>
      <c r="J61" s="151"/>
      <c r="K61" s="151">
        <f>+L61</f>
        <v>0</v>
      </c>
      <c r="L61" s="151"/>
      <c r="M61" s="151">
        <f>+N61</f>
        <v>0</v>
      </c>
      <c r="N61" s="151"/>
      <c r="O61" s="151">
        <f>+P61</f>
        <v>0</v>
      </c>
      <c r="P61" s="151"/>
      <c r="Q61" s="151">
        <f>+R61</f>
        <v>0</v>
      </c>
      <c r="R61" s="151"/>
      <c r="S61" s="151">
        <f>+T61</f>
        <v>0</v>
      </c>
      <c r="T61" s="151"/>
      <c r="U61" s="151">
        <f>+V61</f>
        <v>0</v>
      </c>
      <c r="V61" s="151"/>
      <c r="W61" s="141"/>
    </row>
    <row r="62" spans="1:23" s="55" customFormat="1" ht="45">
      <c r="A62" s="132">
        <f>+A59+1</f>
        <v>11</v>
      </c>
      <c r="B62" s="523" t="s">
        <v>563</v>
      </c>
      <c r="C62" s="517" t="s">
        <v>765</v>
      </c>
      <c r="D62" s="137"/>
      <c r="E62" s="524" t="s">
        <v>583</v>
      </c>
      <c r="F62" s="518" t="s">
        <v>575</v>
      </c>
      <c r="G62" s="519">
        <v>14919.5</v>
      </c>
      <c r="H62" s="139">
        <f>+G62</f>
        <v>14919.5</v>
      </c>
      <c r="I62" s="148" t="e">
        <f>+#REF!+#REF!</f>
        <v>#REF!</v>
      </c>
      <c r="J62" s="148" t="e">
        <f>+#REF!+#REF!</f>
        <v>#REF!</v>
      </c>
      <c r="K62" s="250">
        <f aca="true" t="shared" si="21" ref="K62:V62">SUM(K63:K64)</f>
        <v>0</v>
      </c>
      <c r="L62" s="148">
        <f t="shared" si="21"/>
        <v>0</v>
      </c>
      <c r="M62" s="148">
        <f t="shared" si="21"/>
        <v>0</v>
      </c>
      <c r="N62" s="148">
        <f t="shared" si="21"/>
        <v>0</v>
      </c>
      <c r="O62" s="148">
        <f t="shared" si="21"/>
        <v>0</v>
      </c>
      <c r="P62" s="148">
        <f t="shared" si="21"/>
        <v>0</v>
      </c>
      <c r="Q62" s="148">
        <f t="shared" si="21"/>
        <v>0</v>
      </c>
      <c r="R62" s="148">
        <f t="shared" si="21"/>
        <v>0</v>
      </c>
      <c r="S62" s="148">
        <f t="shared" si="21"/>
        <v>0</v>
      </c>
      <c r="T62" s="148">
        <f t="shared" si="21"/>
        <v>0</v>
      </c>
      <c r="U62" s="522">
        <f t="shared" si="21"/>
        <v>557.9</v>
      </c>
      <c r="V62" s="522">
        <f t="shared" si="21"/>
        <v>557.9</v>
      </c>
      <c r="W62" s="138"/>
    </row>
    <row r="63" spans="1:23" s="56" customFormat="1" ht="22.5">
      <c r="A63" s="143"/>
      <c r="B63" s="155" t="s">
        <v>802</v>
      </c>
      <c r="C63" s="156"/>
      <c r="D63" s="156"/>
      <c r="E63" s="133"/>
      <c r="F63" s="140"/>
      <c r="G63" s="151"/>
      <c r="H63" s="525"/>
      <c r="I63" s="151">
        <f>+J63</f>
        <v>20670</v>
      </c>
      <c r="J63" s="151">
        <v>20670</v>
      </c>
      <c r="K63" s="151">
        <f>+L63</f>
        <v>0</v>
      </c>
      <c r="L63" s="151"/>
      <c r="M63" s="151">
        <f>+N63</f>
        <v>0</v>
      </c>
      <c r="N63" s="151"/>
      <c r="O63" s="151">
        <f>+P63</f>
        <v>0</v>
      </c>
      <c r="P63" s="151">
        <v>0</v>
      </c>
      <c r="Q63" s="151">
        <f>+R63</f>
        <v>0</v>
      </c>
      <c r="R63" s="151"/>
      <c r="S63" s="151">
        <f>+T63</f>
        <v>0</v>
      </c>
      <c r="T63" s="151">
        <v>0</v>
      </c>
      <c r="U63" s="521">
        <f>+V63</f>
        <v>557.9</v>
      </c>
      <c r="V63" s="521">
        <v>557.9</v>
      </c>
      <c r="W63" s="138"/>
    </row>
    <row r="64" spans="1:23" s="56" customFormat="1" ht="15" customHeight="1">
      <c r="A64" s="143"/>
      <c r="B64" s="155" t="s">
        <v>801</v>
      </c>
      <c r="C64" s="156"/>
      <c r="D64" s="156"/>
      <c r="E64" s="133"/>
      <c r="F64" s="140"/>
      <c r="G64" s="151"/>
      <c r="H64" s="525"/>
      <c r="I64" s="151">
        <f>+J64</f>
        <v>0</v>
      </c>
      <c r="J64" s="151"/>
      <c r="K64" s="151">
        <f>+L64</f>
        <v>0</v>
      </c>
      <c r="L64" s="151"/>
      <c r="M64" s="151">
        <f>+N64</f>
        <v>0</v>
      </c>
      <c r="N64" s="151"/>
      <c r="O64" s="151">
        <f>+P64</f>
        <v>0</v>
      </c>
      <c r="P64" s="151"/>
      <c r="Q64" s="151">
        <f>+R64</f>
        <v>0</v>
      </c>
      <c r="R64" s="151"/>
      <c r="S64" s="151">
        <f>+T64</f>
        <v>0</v>
      </c>
      <c r="T64" s="151"/>
      <c r="U64" s="151">
        <f>+V64</f>
        <v>0</v>
      </c>
      <c r="V64" s="151"/>
      <c r="W64" s="141"/>
    </row>
    <row r="65" spans="1:23" s="55" customFormat="1" ht="78.75">
      <c r="A65" s="132">
        <f>+A62+1</f>
        <v>12</v>
      </c>
      <c r="B65" s="523" t="s">
        <v>584</v>
      </c>
      <c r="C65" s="517" t="s">
        <v>766</v>
      </c>
      <c r="D65" s="137"/>
      <c r="E65" s="524" t="s">
        <v>582</v>
      </c>
      <c r="F65" s="518" t="s">
        <v>586</v>
      </c>
      <c r="G65" s="519">
        <v>4519</v>
      </c>
      <c r="H65" s="139">
        <f>+G65</f>
        <v>4519</v>
      </c>
      <c r="I65" s="148" t="e">
        <f>+#REF!+#REF!</f>
        <v>#REF!</v>
      </c>
      <c r="J65" s="148" t="e">
        <f>+#REF!+#REF!</f>
        <v>#REF!</v>
      </c>
      <c r="K65" s="250">
        <f aca="true" t="shared" si="22" ref="K65:V65">SUM(K66:K67)</f>
        <v>0</v>
      </c>
      <c r="L65" s="148">
        <f t="shared" si="22"/>
        <v>0</v>
      </c>
      <c r="M65" s="148">
        <f t="shared" si="22"/>
        <v>0</v>
      </c>
      <c r="N65" s="148">
        <f t="shared" si="22"/>
        <v>0</v>
      </c>
      <c r="O65" s="148">
        <f t="shared" si="22"/>
        <v>0</v>
      </c>
      <c r="P65" s="148">
        <f t="shared" si="22"/>
        <v>0</v>
      </c>
      <c r="Q65" s="148">
        <f t="shared" si="22"/>
        <v>0</v>
      </c>
      <c r="R65" s="148">
        <f t="shared" si="22"/>
        <v>0</v>
      </c>
      <c r="S65" s="148">
        <f t="shared" si="22"/>
        <v>0</v>
      </c>
      <c r="T65" s="148">
        <f t="shared" si="22"/>
        <v>0</v>
      </c>
      <c r="U65" s="522">
        <f t="shared" si="22"/>
        <v>9</v>
      </c>
      <c r="V65" s="522">
        <f t="shared" si="22"/>
        <v>9</v>
      </c>
      <c r="W65" s="138"/>
    </row>
    <row r="66" spans="1:23" s="56" customFormat="1" ht="22.5">
      <c r="A66" s="143"/>
      <c r="B66" s="155" t="s">
        <v>802</v>
      </c>
      <c r="C66" s="156"/>
      <c r="D66" s="156"/>
      <c r="E66" s="133"/>
      <c r="F66" s="140"/>
      <c r="G66" s="151"/>
      <c r="H66" s="525"/>
      <c r="I66" s="151">
        <f>+J66</f>
        <v>20670</v>
      </c>
      <c r="J66" s="151">
        <v>20670</v>
      </c>
      <c r="K66" s="151">
        <f>+L66</f>
        <v>0</v>
      </c>
      <c r="L66" s="151"/>
      <c r="M66" s="151">
        <f>+N66</f>
        <v>0</v>
      </c>
      <c r="N66" s="151"/>
      <c r="O66" s="151">
        <f>+P66</f>
        <v>0</v>
      </c>
      <c r="P66" s="151">
        <v>0</v>
      </c>
      <c r="Q66" s="151">
        <f>+R66</f>
        <v>0</v>
      </c>
      <c r="R66" s="151"/>
      <c r="S66" s="151">
        <f>+T66</f>
        <v>0</v>
      </c>
      <c r="T66" s="151">
        <v>0</v>
      </c>
      <c r="U66" s="521">
        <f>+V66</f>
        <v>9</v>
      </c>
      <c r="V66" s="521">
        <v>9</v>
      </c>
      <c r="W66" s="138"/>
    </row>
    <row r="67" spans="1:23" s="56" customFormat="1" ht="15" customHeight="1">
      <c r="A67" s="143"/>
      <c r="B67" s="155" t="s">
        <v>801</v>
      </c>
      <c r="C67" s="156"/>
      <c r="D67" s="156"/>
      <c r="E67" s="133"/>
      <c r="F67" s="140"/>
      <c r="G67" s="151"/>
      <c r="H67" s="525"/>
      <c r="I67" s="151">
        <f>+J67</f>
        <v>0</v>
      </c>
      <c r="J67" s="151"/>
      <c r="K67" s="151">
        <f>+L67</f>
        <v>0</v>
      </c>
      <c r="L67" s="151"/>
      <c r="M67" s="151">
        <f>+N67</f>
        <v>0</v>
      </c>
      <c r="N67" s="151"/>
      <c r="O67" s="151">
        <f>+P67</f>
        <v>0</v>
      </c>
      <c r="P67" s="151"/>
      <c r="Q67" s="151">
        <f>+R67</f>
        <v>0</v>
      </c>
      <c r="R67" s="151"/>
      <c r="S67" s="151">
        <f>+T67</f>
        <v>0</v>
      </c>
      <c r="T67" s="151"/>
      <c r="U67" s="151">
        <f>+V67</f>
        <v>0</v>
      </c>
      <c r="V67" s="151"/>
      <c r="W67" s="141"/>
    </row>
    <row r="68" spans="1:23" s="55" customFormat="1" ht="45">
      <c r="A68" s="132">
        <f>+A65+1</f>
        <v>13</v>
      </c>
      <c r="B68" s="523" t="s">
        <v>585</v>
      </c>
      <c r="C68" s="517" t="s">
        <v>767</v>
      </c>
      <c r="D68" s="137"/>
      <c r="E68" s="524" t="s">
        <v>588</v>
      </c>
      <c r="F68" s="518" t="s">
        <v>587</v>
      </c>
      <c r="G68" s="519">
        <v>14953</v>
      </c>
      <c r="H68" s="139">
        <f>+G68</f>
        <v>14953</v>
      </c>
      <c r="I68" s="148" t="e">
        <f>+#REF!+I80</f>
        <v>#REF!</v>
      </c>
      <c r="J68" s="148" t="e">
        <f>+#REF!+J80</f>
        <v>#REF!</v>
      </c>
      <c r="K68" s="250">
        <f aca="true" t="shared" si="23" ref="K68:V68">SUM(K69:K70)</f>
        <v>0</v>
      </c>
      <c r="L68" s="148">
        <f t="shared" si="23"/>
        <v>0</v>
      </c>
      <c r="M68" s="148">
        <f t="shared" si="23"/>
        <v>0</v>
      </c>
      <c r="N68" s="148">
        <f t="shared" si="23"/>
        <v>0</v>
      </c>
      <c r="O68" s="148">
        <f t="shared" si="23"/>
        <v>0</v>
      </c>
      <c r="P68" s="148">
        <f t="shared" si="23"/>
        <v>0</v>
      </c>
      <c r="Q68" s="148">
        <f t="shared" si="23"/>
        <v>0</v>
      </c>
      <c r="R68" s="148">
        <f t="shared" si="23"/>
        <v>0</v>
      </c>
      <c r="S68" s="148">
        <f t="shared" si="23"/>
        <v>0</v>
      </c>
      <c r="T68" s="148">
        <f t="shared" si="23"/>
        <v>0</v>
      </c>
      <c r="U68" s="522">
        <f t="shared" si="23"/>
        <v>500</v>
      </c>
      <c r="V68" s="522">
        <f t="shared" si="23"/>
        <v>500</v>
      </c>
      <c r="W68" s="138"/>
    </row>
    <row r="69" spans="1:23" s="56" customFormat="1" ht="22.5">
      <c r="A69" s="143"/>
      <c r="B69" s="155" t="s">
        <v>802</v>
      </c>
      <c r="C69" s="156"/>
      <c r="D69" s="156"/>
      <c r="E69" s="133"/>
      <c r="F69" s="140"/>
      <c r="G69" s="151"/>
      <c r="H69" s="525"/>
      <c r="I69" s="151">
        <f>+J69</f>
        <v>20670</v>
      </c>
      <c r="J69" s="151">
        <v>20670</v>
      </c>
      <c r="K69" s="151">
        <f>+L69</f>
        <v>0</v>
      </c>
      <c r="L69" s="151"/>
      <c r="M69" s="151">
        <f>+N69</f>
        <v>0</v>
      </c>
      <c r="N69" s="151"/>
      <c r="O69" s="151">
        <f>+P69</f>
        <v>0</v>
      </c>
      <c r="P69" s="151">
        <v>0</v>
      </c>
      <c r="Q69" s="151">
        <f>+R69</f>
        <v>0</v>
      </c>
      <c r="R69" s="151"/>
      <c r="S69" s="151">
        <f>+T69</f>
        <v>0</v>
      </c>
      <c r="T69" s="151">
        <v>0</v>
      </c>
      <c r="U69" s="521">
        <f>+V69</f>
        <v>500</v>
      </c>
      <c r="V69" s="521">
        <v>500</v>
      </c>
      <c r="W69" s="138"/>
    </row>
    <row r="70" spans="1:23" s="56" customFormat="1" ht="15" customHeight="1">
      <c r="A70" s="143"/>
      <c r="B70" s="155" t="s">
        <v>801</v>
      </c>
      <c r="C70" s="156"/>
      <c r="D70" s="156"/>
      <c r="E70" s="133"/>
      <c r="F70" s="140"/>
      <c r="G70" s="151"/>
      <c r="H70" s="525"/>
      <c r="I70" s="151">
        <f>+J70</f>
        <v>0</v>
      </c>
      <c r="J70" s="151"/>
      <c r="K70" s="151">
        <f>+L70</f>
        <v>0</v>
      </c>
      <c r="L70" s="151"/>
      <c r="M70" s="151">
        <f>+N70</f>
        <v>0</v>
      </c>
      <c r="N70" s="151"/>
      <c r="O70" s="151">
        <f>+P70</f>
        <v>0</v>
      </c>
      <c r="P70" s="151"/>
      <c r="Q70" s="151">
        <f>+R70</f>
        <v>0</v>
      </c>
      <c r="R70" s="151"/>
      <c r="S70" s="151">
        <f>+T70</f>
        <v>0</v>
      </c>
      <c r="T70" s="151"/>
      <c r="U70" s="151">
        <f>+V70</f>
        <v>0</v>
      </c>
      <c r="V70" s="151"/>
      <c r="W70" s="141"/>
    </row>
    <row r="71" spans="1:23" s="571" customFormat="1" ht="45">
      <c r="A71" s="560">
        <f>+A68+1</f>
        <v>14</v>
      </c>
      <c r="B71" s="561" t="s">
        <v>798</v>
      </c>
      <c r="C71" s="562" t="s">
        <v>778</v>
      </c>
      <c r="D71" s="563"/>
      <c r="E71" s="562" t="s">
        <v>804</v>
      </c>
      <c r="F71" s="564" t="s">
        <v>567</v>
      </c>
      <c r="G71" s="565">
        <v>5943.2</v>
      </c>
      <c r="H71" s="566">
        <f>+G71</f>
        <v>5943.2</v>
      </c>
      <c r="I71" s="567">
        <f>+I80+I81</f>
        <v>7500</v>
      </c>
      <c r="J71" s="567">
        <f>+J80+J81</f>
        <v>7500</v>
      </c>
      <c r="K71" s="568">
        <f aca="true" t="shared" si="24" ref="K71:V71">SUM(K72:K73)</f>
        <v>41</v>
      </c>
      <c r="L71" s="567">
        <f t="shared" si="24"/>
        <v>41</v>
      </c>
      <c r="M71" s="567">
        <f t="shared" si="24"/>
        <v>0</v>
      </c>
      <c r="N71" s="567">
        <f t="shared" si="24"/>
        <v>0</v>
      </c>
      <c r="O71" s="567">
        <f t="shared" si="24"/>
        <v>41</v>
      </c>
      <c r="P71" s="567">
        <f t="shared" si="24"/>
        <v>41</v>
      </c>
      <c r="Q71" s="567">
        <f t="shared" si="24"/>
        <v>0</v>
      </c>
      <c r="R71" s="567">
        <f t="shared" si="24"/>
        <v>0</v>
      </c>
      <c r="S71" s="567">
        <f t="shared" si="24"/>
        <v>0</v>
      </c>
      <c r="T71" s="567">
        <f t="shared" si="24"/>
        <v>0</v>
      </c>
      <c r="U71" s="569">
        <f t="shared" si="24"/>
        <v>0</v>
      </c>
      <c r="V71" s="569">
        <f t="shared" si="24"/>
        <v>0</v>
      </c>
      <c r="W71" s="570"/>
    </row>
    <row r="72" spans="1:23" s="579" customFormat="1" ht="22.5">
      <c r="A72" s="572"/>
      <c r="B72" s="573" t="s">
        <v>802</v>
      </c>
      <c r="C72" s="574"/>
      <c r="D72" s="574"/>
      <c r="E72" s="562"/>
      <c r="F72" s="575"/>
      <c r="G72" s="576"/>
      <c r="H72" s="577"/>
      <c r="I72" s="576">
        <f>+J72</f>
        <v>20670</v>
      </c>
      <c r="J72" s="576">
        <v>20670</v>
      </c>
      <c r="K72" s="576">
        <f>+L72</f>
        <v>41</v>
      </c>
      <c r="L72" s="576">
        <v>41</v>
      </c>
      <c r="M72" s="576">
        <f>+N72</f>
        <v>0</v>
      </c>
      <c r="N72" s="576"/>
      <c r="O72" s="576">
        <f>+P72</f>
        <v>41</v>
      </c>
      <c r="P72" s="576">
        <v>41</v>
      </c>
      <c r="Q72" s="576">
        <f>+R72</f>
        <v>0</v>
      </c>
      <c r="R72" s="576"/>
      <c r="S72" s="576">
        <f>+T72</f>
        <v>0</v>
      </c>
      <c r="T72" s="576">
        <v>0</v>
      </c>
      <c r="U72" s="578">
        <f>+V72</f>
        <v>0</v>
      </c>
      <c r="V72" s="578"/>
      <c r="W72" s="570"/>
    </row>
    <row r="73" spans="1:23" s="579" customFormat="1" ht="15" customHeight="1">
      <c r="A73" s="572"/>
      <c r="B73" s="573" t="s">
        <v>801</v>
      </c>
      <c r="C73" s="574"/>
      <c r="D73" s="574"/>
      <c r="E73" s="562"/>
      <c r="F73" s="575"/>
      <c r="G73" s="576"/>
      <c r="H73" s="577"/>
      <c r="I73" s="576">
        <f>+J73</f>
        <v>0</v>
      </c>
      <c r="J73" s="576"/>
      <c r="K73" s="576">
        <f>+L73</f>
        <v>0</v>
      </c>
      <c r="L73" s="576"/>
      <c r="M73" s="576">
        <f>+N73</f>
        <v>0</v>
      </c>
      <c r="N73" s="576"/>
      <c r="O73" s="576">
        <f>+P73</f>
        <v>0</v>
      </c>
      <c r="P73" s="576"/>
      <c r="Q73" s="576">
        <f>+R73</f>
        <v>0</v>
      </c>
      <c r="R73" s="576"/>
      <c r="S73" s="576">
        <f>+T73</f>
        <v>0</v>
      </c>
      <c r="T73" s="576"/>
      <c r="U73" s="576">
        <f>+V73</f>
        <v>0</v>
      </c>
      <c r="V73" s="576"/>
      <c r="W73" s="580"/>
    </row>
    <row r="74" spans="1:23" s="571" customFormat="1" ht="22.5">
      <c r="A74" s="560">
        <f>+A71+1</f>
        <v>15</v>
      </c>
      <c r="B74" s="581" t="s">
        <v>505</v>
      </c>
      <c r="C74" s="582" t="s">
        <v>763</v>
      </c>
      <c r="D74" s="563"/>
      <c r="E74" s="582" t="s">
        <v>785</v>
      </c>
      <c r="F74" s="583" t="s">
        <v>770</v>
      </c>
      <c r="G74" s="565">
        <v>8569.2</v>
      </c>
      <c r="H74" s="566">
        <f>+G74</f>
        <v>8569.2</v>
      </c>
      <c r="I74" s="567">
        <f>+I81+I82</f>
        <v>5000</v>
      </c>
      <c r="J74" s="567">
        <f>+J81+J82</f>
        <v>5000</v>
      </c>
      <c r="K74" s="568">
        <f aca="true" t="shared" si="25" ref="K74:V74">SUM(K75:K76)</f>
        <v>120</v>
      </c>
      <c r="L74" s="567">
        <f t="shared" si="25"/>
        <v>120</v>
      </c>
      <c r="M74" s="567">
        <f t="shared" si="25"/>
        <v>0</v>
      </c>
      <c r="N74" s="567">
        <f t="shared" si="25"/>
        <v>0</v>
      </c>
      <c r="O74" s="567">
        <f t="shared" si="25"/>
        <v>120</v>
      </c>
      <c r="P74" s="567">
        <f t="shared" si="25"/>
        <v>120</v>
      </c>
      <c r="Q74" s="567">
        <f t="shared" si="25"/>
        <v>0</v>
      </c>
      <c r="R74" s="567">
        <f t="shared" si="25"/>
        <v>0</v>
      </c>
      <c r="S74" s="567">
        <f t="shared" si="25"/>
        <v>0</v>
      </c>
      <c r="T74" s="567">
        <f t="shared" si="25"/>
        <v>0</v>
      </c>
      <c r="U74" s="569">
        <f t="shared" si="25"/>
        <v>0</v>
      </c>
      <c r="V74" s="569">
        <f t="shared" si="25"/>
        <v>0</v>
      </c>
      <c r="W74" s="570"/>
    </row>
    <row r="75" spans="1:23" s="579" customFormat="1" ht="22.5">
      <c r="A75" s="572"/>
      <c r="B75" s="573" t="s">
        <v>802</v>
      </c>
      <c r="C75" s="574"/>
      <c r="D75" s="574"/>
      <c r="E75" s="562"/>
      <c r="F75" s="575"/>
      <c r="G75" s="576"/>
      <c r="H75" s="577"/>
      <c r="I75" s="576">
        <f>+J75</f>
        <v>20670</v>
      </c>
      <c r="J75" s="576">
        <v>20670</v>
      </c>
      <c r="K75" s="576">
        <f>+L75</f>
        <v>120</v>
      </c>
      <c r="L75" s="576">
        <v>120</v>
      </c>
      <c r="M75" s="576">
        <f>+N75</f>
        <v>0</v>
      </c>
      <c r="N75" s="576"/>
      <c r="O75" s="576">
        <f>+P75</f>
        <v>120</v>
      </c>
      <c r="P75" s="576">
        <v>120</v>
      </c>
      <c r="Q75" s="576">
        <f>+R75</f>
        <v>0</v>
      </c>
      <c r="R75" s="576"/>
      <c r="S75" s="576">
        <f>+T75</f>
        <v>0</v>
      </c>
      <c r="T75" s="576">
        <v>0</v>
      </c>
      <c r="U75" s="578">
        <f>+V75</f>
        <v>0</v>
      </c>
      <c r="V75" s="578"/>
      <c r="W75" s="570"/>
    </row>
    <row r="76" spans="1:23" s="579" customFormat="1" ht="15" customHeight="1">
      <c r="A76" s="572"/>
      <c r="B76" s="573" t="s">
        <v>801</v>
      </c>
      <c r="C76" s="574"/>
      <c r="D76" s="574"/>
      <c r="E76" s="562"/>
      <c r="F76" s="575"/>
      <c r="G76" s="576"/>
      <c r="H76" s="577"/>
      <c r="I76" s="576">
        <f>+J76</f>
        <v>0</v>
      </c>
      <c r="J76" s="576"/>
      <c r="K76" s="576">
        <f>+L76</f>
        <v>0</v>
      </c>
      <c r="L76" s="576"/>
      <c r="M76" s="576">
        <f>+N76</f>
        <v>0</v>
      </c>
      <c r="N76" s="576"/>
      <c r="O76" s="576">
        <f>+P76</f>
        <v>0</v>
      </c>
      <c r="P76" s="576"/>
      <c r="Q76" s="576">
        <f>+R76</f>
        <v>0</v>
      </c>
      <c r="R76" s="576"/>
      <c r="S76" s="576">
        <f>+T76</f>
        <v>0</v>
      </c>
      <c r="T76" s="576"/>
      <c r="U76" s="576">
        <f>+V76</f>
        <v>0</v>
      </c>
      <c r="V76" s="576"/>
      <c r="W76" s="580"/>
    </row>
    <row r="77" spans="1:23" s="55" customFormat="1" ht="33.75">
      <c r="A77" s="560">
        <f>+A74+1</f>
        <v>16</v>
      </c>
      <c r="B77" s="144" t="s">
        <v>820</v>
      </c>
      <c r="C77" s="513" t="s">
        <v>762</v>
      </c>
      <c r="D77" s="137"/>
      <c r="E77" s="513" t="s">
        <v>784</v>
      </c>
      <c r="F77" s="520" t="s">
        <v>769</v>
      </c>
      <c r="G77" s="519">
        <v>31484</v>
      </c>
      <c r="H77" s="139">
        <f>+G77</f>
        <v>31484</v>
      </c>
      <c r="I77" s="148">
        <f>+I82+I83</f>
        <v>2500</v>
      </c>
      <c r="J77" s="148">
        <f>+J82+J83</f>
        <v>2500</v>
      </c>
      <c r="K77" s="250">
        <f aca="true" t="shared" si="26" ref="K77:V77">SUM(K78:K79)</f>
        <v>2121</v>
      </c>
      <c r="L77" s="148">
        <f t="shared" si="26"/>
        <v>2121</v>
      </c>
      <c r="M77" s="148">
        <f t="shared" si="26"/>
        <v>0</v>
      </c>
      <c r="N77" s="148">
        <f t="shared" si="26"/>
        <v>0</v>
      </c>
      <c r="O77" s="148">
        <f t="shared" si="26"/>
        <v>2121</v>
      </c>
      <c r="P77" s="148">
        <f t="shared" si="26"/>
        <v>2121</v>
      </c>
      <c r="Q77" s="148">
        <f t="shared" si="26"/>
        <v>0</v>
      </c>
      <c r="R77" s="148">
        <f t="shared" si="26"/>
        <v>0</v>
      </c>
      <c r="S77" s="148">
        <f t="shared" si="26"/>
        <v>0</v>
      </c>
      <c r="T77" s="148">
        <f t="shared" si="26"/>
        <v>0</v>
      </c>
      <c r="U77" s="522">
        <f t="shared" si="26"/>
        <v>1.1</v>
      </c>
      <c r="V77" s="522">
        <f t="shared" si="26"/>
        <v>1.1</v>
      </c>
      <c r="W77" s="138"/>
    </row>
    <row r="78" spans="1:23" s="56" customFormat="1" ht="22.5">
      <c r="A78" s="143"/>
      <c r="B78" s="155" t="s">
        <v>802</v>
      </c>
      <c r="C78" s="156"/>
      <c r="D78" s="156"/>
      <c r="E78" s="133"/>
      <c r="F78" s="140"/>
      <c r="G78" s="151"/>
      <c r="H78" s="525"/>
      <c r="I78" s="151">
        <f>+J78</f>
        <v>20670</v>
      </c>
      <c r="J78" s="151">
        <v>20670</v>
      </c>
      <c r="K78" s="151">
        <f>+L78</f>
        <v>2121</v>
      </c>
      <c r="L78" s="151">
        <v>2121</v>
      </c>
      <c r="M78" s="151">
        <f>+N78</f>
        <v>0</v>
      </c>
      <c r="N78" s="151"/>
      <c r="O78" s="151">
        <f>+P78</f>
        <v>2121</v>
      </c>
      <c r="P78" s="151">
        <v>2121</v>
      </c>
      <c r="Q78" s="151">
        <f>+R78</f>
        <v>0</v>
      </c>
      <c r="R78" s="151"/>
      <c r="S78" s="151">
        <f>+T78</f>
        <v>0</v>
      </c>
      <c r="T78" s="151">
        <v>0</v>
      </c>
      <c r="U78" s="521">
        <f>+V78</f>
        <v>1.1</v>
      </c>
      <c r="V78" s="521">
        <v>1.1</v>
      </c>
      <c r="W78" s="138"/>
    </row>
    <row r="79" spans="1:23" s="56" customFormat="1" ht="15" customHeight="1">
      <c r="A79" s="143"/>
      <c r="B79" s="155" t="s">
        <v>801</v>
      </c>
      <c r="C79" s="156"/>
      <c r="D79" s="156"/>
      <c r="E79" s="133"/>
      <c r="F79" s="140"/>
      <c r="G79" s="151"/>
      <c r="H79" s="525"/>
      <c r="I79" s="151">
        <f>+J79</f>
        <v>0</v>
      </c>
      <c r="J79" s="151"/>
      <c r="K79" s="151">
        <f>+L79</f>
        <v>0</v>
      </c>
      <c r="L79" s="151"/>
      <c r="M79" s="151">
        <f>+N79</f>
        <v>0</v>
      </c>
      <c r="N79" s="151"/>
      <c r="O79" s="151">
        <f>+P79</f>
        <v>0</v>
      </c>
      <c r="P79" s="151"/>
      <c r="Q79" s="151">
        <f>+R79</f>
        <v>0</v>
      </c>
      <c r="R79" s="151"/>
      <c r="S79" s="151">
        <f>+T79</f>
        <v>0</v>
      </c>
      <c r="T79" s="151"/>
      <c r="U79" s="151">
        <f>+V79</f>
        <v>0</v>
      </c>
      <c r="V79" s="151"/>
      <c r="W79" s="141"/>
    </row>
    <row r="80" spans="1:23" s="56" customFormat="1" ht="30.75" customHeight="1">
      <c r="A80" s="179" t="s">
        <v>897</v>
      </c>
      <c r="B80" s="180" t="s">
        <v>898</v>
      </c>
      <c r="C80" s="140"/>
      <c r="D80" s="140"/>
      <c r="E80" s="140"/>
      <c r="F80" s="140"/>
      <c r="G80" s="150">
        <f>+G81+G84</f>
        <v>12057</v>
      </c>
      <c r="H80" s="150">
        <f aca="true" t="shared" si="27" ref="H80:V80">+H81+H84</f>
        <v>12057</v>
      </c>
      <c r="I80" s="150">
        <f t="shared" si="27"/>
        <v>5000</v>
      </c>
      <c r="J80" s="150">
        <f t="shared" si="27"/>
        <v>5000</v>
      </c>
      <c r="K80" s="150">
        <f t="shared" si="27"/>
        <v>5000</v>
      </c>
      <c r="L80" s="150">
        <f t="shared" si="27"/>
        <v>5000</v>
      </c>
      <c r="M80" s="150">
        <f t="shared" si="27"/>
        <v>0</v>
      </c>
      <c r="N80" s="150">
        <f t="shared" si="27"/>
        <v>0</v>
      </c>
      <c r="O80" s="150">
        <f t="shared" si="27"/>
        <v>0</v>
      </c>
      <c r="P80" s="150">
        <f t="shared" si="27"/>
        <v>0</v>
      </c>
      <c r="Q80" s="150">
        <f t="shared" si="27"/>
        <v>0</v>
      </c>
      <c r="R80" s="150">
        <f t="shared" si="27"/>
        <v>0</v>
      </c>
      <c r="S80" s="150">
        <f t="shared" si="27"/>
        <v>0</v>
      </c>
      <c r="T80" s="150">
        <f t="shared" si="27"/>
        <v>0</v>
      </c>
      <c r="U80" s="150">
        <f t="shared" si="27"/>
        <v>2044</v>
      </c>
      <c r="V80" s="150">
        <f t="shared" si="27"/>
        <v>2044</v>
      </c>
      <c r="W80" s="141"/>
    </row>
    <row r="81" spans="1:23" ht="135">
      <c r="A81" s="132">
        <f>+A77+1</f>
        <v>17</v>
      </c>
      <c r="B81" s="126" t="s">
        <v>941</v>
      </c>
      <c r="C81" s="127" t="s">
        <v>766</v>
      </c>
      <c r="D81" s="127"/>
      <c r="E81" s="526" t="s">
        <v>787</v>
      </c>
      <c r="F81" s="524" t="s">
        <v>589</v>
      </c>
      <c r="G81" s="178">
        <v>4554</v>
      </c>
      <c r="H81" s="139">
        <f>+G81</f>
        <v>4554</v>
      </c>
      <c r="I81" s="148">
        <f>+I82+I83</f>
        <v>2500</v>
      </c>
      <c r="J81" s="148">
        <f>+J82+J83</f>
        <v>2500</v>
      </c>
      <c r="K81" s="148">
        <f>SUM(K82:K83)</f>
        <v>0</v>
      </c>
      <c r="L81" s="148">
        <f aca="true" t="shared" si="28" ref="L81:V81">SUM(L82:L83)</f>
        <v>0</v>
      </c>
      <c r="M81" s="148">
        <f t="shared" si="28"/>
        <v>0</v>
      </c>
      <c r="N81" s="148">
        <f t="shared" si="28"/>
        <v>0</v>
      </c>
      <c r="O81" s="148">
        <f t="shared" si="28"/>
        <v>0</v>
      </c>
      <c r="P81" s="148">
        <f t="shared" si="28"/>
        <v>0</v>
      </c>
      <c r="Q81" s="148">
        <f t="shared" si="28"/>
        <v>0</v>
      </c>
      <c r="R81" s="148">
        <f t="shared" si="28"/>
        <v>0</v>
      </c>
      <c r="S81" s="148">
        <f t="shared" si="28"/>
        <v>0</v>
      </c>
      <c r="T81" s="148">
        <f t="shared" si="28"/>
        <v>0</v>
      </c>
      <c r="U81" s="148">
        <f t="shared" si="28"/>
        <v>44</v>
      </c>
      <c r="V81" s="148">
        <f t="shared" si="28"/>
        <v>44</v>
      </c>
      <c r="W81" s="134"/>
    </row>
    <row r="82" spans="1:23" s="56" customFormat="1" ht="22.5">
      <c r="A82" s="143"/>
      <c r="B82" s="155" t="s">
        <v>802</v>
      </c>
      <c r="C82" s="156"/>
      <c r="D82" s="156"/>
      <c r="E82" s="140"/>
      <c r="F82" s="157"/>
      <c r="G82" s="159"/>
      <c r="H82" s="158"/>
      <c r="I82" s="151">
        <f>+J82</f>
        <v>2500</v>
      </c>
      <c r="J82" s="151">
        <v>2500</v>
      </c>
      <c r="K82" s="159">
        <f>+L82</f>
        <v>0</v>
      </c>
      <c r="L82" s="151"/>
      <c r="M82" s="159">
        <f>+N82</f>
        <v>0</v>
      </c>
      <c r="N82" s="151"/>
      <c r="O82" s="159">
        <f>+P82</f>
        <v>0</v>
      </c>
      <c r="P82" s="151"/>
      <c r="Q82" s="159">
        <f>+R82</f>
        <v>0</v>
      </c>
      <c r="R82" s="151"/>
      <c r="S82" s="159">
        <f>+T82</f>
        <v>0</v>
      </c>
      <c r="T82" s="151"/>
      <c r="U82" s="159">
        <f>+V82</f>
        <v>44</v>
      </c>
      <c r="V82" s="151">
        <v>44</v>
      </c>
      <c r="W82" s="138"/>
    </row>
    <row r="83" spans="1:23" s="56" customFormat="1" ht="18" customHeight="1">
      <c r="A83" s="143"/>
      <c r="B83" s="155" t="s">
        <v>801</v>
      </c>
      <c r="C83" s="156"/>
      <c r="D83" s="156"/>
      <c r="E83" s="140"/>
      <c r="F83" s="157"/>
      <c r="G83" s="159"/>
      <c r="H83" s="158"/>
      <c r="I83" s="151">
        <f>+J83</f>
        <v>0</v>
      </c>
      <c r="J83" s="151"/>
      <c r="K83" s="159">
        <f>+L83</f>
        <v>0</v>
      </c>
      <c r="L83" s="151"/>
      <c r="M83" s="159">
        <f>+N83</f>
        <v>0</v>
      </c>
      <c r="N83" s="151"/>
      <c r="O83" s="159">
        <f>+P83</f>
        <v>0</v>
      </c>
      <c r="P83" s="151"/>
      <c r="Q83" s="159">
        <f>+R83</f>
        <v>0</v>
      </c>
      <c r="R83" s="151"/>
      <c r="S83" s="159">
        <f>+T83</f>
        <v>0</v>
      </c>
      <c r="T83" s="151"/>
      <c r="U83" s="159">
        <f>+V83</f>
        <v>0</v>
      </c>
      <c r="V83" s="151"/>
      <c r="W83" s="141"/>
    </row>
    <row r="84" spans="1:23" ht="112.5">
      <c r="A84" s="132">
        <f>+A81+1</f>
        <v>18</v>
      </c>
      <c r="B84" s="523" t="s">
        <v>513</v>
      </c>
      <c r="C84" s="127" t="s">
        <v>766</v>
      </c>
      <c r="D84" s="127"/>
      <c r="E84" s="51">
        <v>2013</v>
      </c>
      <c r="F84" s="524" t="s">
        <v>592</v>
      </c>
      <c r="G84" s="178">
        <v>7503</v>
      </c>
      <c r="H84" s="139">
        <f>+G84</f>
        <v>7503</v>
      </c>
      <c r="I84" s="148">
        <f>+I85+I86</f>
        <v>2500</v>
      </c>
      <c r="J84" s="148">
        <f>+J85+J86</f>
        <v>2500</v>
      </c>
      <c r="K84" s="148">
        <f aca="true" t="shared" si="29" ref="K84:V84">SUM(K85:K86)</f>
        <v>5000</v>
      </c>
      <c r="L84" s="148">
        <f t="shared" si="29"/>
        <v>5000</v>
      </c>
      <c r="M84" s="148">
        <f t="shared" si="29"/>
        <v>0</v>
      </c>
      <c r="N84" s="148">
        <f t="shared" si="29"/>
        <v>0</v>
      </c>
      <c r="O84" s="148">
        <f t="shared" si="29"/>
        <v>0</v>
      </c>
      <c r="P84" s="148">
        <f t="shared" si="29"/>
        <v>0</v>
      </c>
      <c r="Q84" s="148">
        <f t="shared" si="29"/>
        <v>0</v>
      </c>
      <c r="R84" s="148">
        <f t="shared" si="29"/>
        <v>0</v>
      </c>
      <c r="S84" s="148">
        <f t="shared" si="29"/>
        <v>0</v>
      </c>
      <c r="T84" s="148">
        <f t="shared" si="29"/>
        <v>0</v>
      </c>
      <c r="U84" s="148">
        <f t="shared" si="29"/>
        <v>2000</v>
      </c>
      <c r="V84" s="148">
        <f t="shared" si="29"/>
        <v>2000</v>
      </c>
      <c r="W84" s="134"/>
    </row>
    <row r="85" spans="1:23" s="56" customFormat="1" ht="22.5">
      <c r="A85" s="143"/>
      <c r="B85" s="155" t="s">
        <v>802</v>
      </c>
      <c r="C85" s="156"/>
      <c r="D85" s="156"/>
      <c r="E85" s="140"/>
      <c r="F85" s="157"/>
      <c r="G85" s="159"/>
      <c r="H85" s="158"/>
      <c r="I85" s="151">
        <f>+J85</f>
        <v>2500</v>
      </c>
      <c r="J85" s="151">
        <v>2500</v>
      </c>
      <c r="K85" s="159">
        <f>+L85</f>
        <v>0</v>
      </c>
      <c r="L85" s="151"/>
      <c r="M85" s="159">
        <f>+N85</f>
        <v>0</v>
      </c>
      <c r="N85" s="151"/>
      <c r="O85" s="159">
        <f>+P85</f>
        <v>0</v>
      </c>
      <c r="P85" s="151"/>
      <c r="Q85" s="159">
        <f>+R85</f>
        <v>0</v>
      </c>
      <c r="R85" s="151"/>
      <c r="S85" s="159">
        <f>+T85</f>
        <v>0</v>
      </c>
      <c r="T85" s="151"/>
      <c r="U85" s="159">
        <f>+V85</f>
        <v>0</v>
      </c>
      <c r="V85" s="151"/>
      <c r="W85" s="138"/>
    </row>
    <row r="86" spans="1:23" s="56" customFormat="1" ht="18" customHeight="1">
      <c r="A86" s="143"/>
      <c r="B86" s="155" t="s">
        <v>801</v>
      </c>
      <c r="C86" s="156"/>
      <c r="D86" s="156"/>
      <c r="E86" s="140"/>
      <c r="F86" s="157"/>
      <c r="G86" s="159"/>
      <c r="H86" s="158"/>
      <c r="I86" s="151">
        <f>+J86</f>
        <v>0</v>
      </c>
      <c r="J86" s="151"/>
      <c r="K86" s="159">
        <f>+L86</f>
        <v>5000</v>
      </c>
      <c r="L86" s="151">
        <v>5000</v>
      </c>
      <c r="M86" s="159">
        <f>+N86</f>
        <v>0</v>
      </c>
      <c r="N86" s="151"/>
      <c r="O86" s="159">
        <f>+P86</f>
        <v>0</v>
      </c>
      <c r="P86" s="151"/>
      <c r="Q86" s="159">
        <f>+R86</f>
        <v>0</v>
      </c>
      <c r="R86" s="151"/>
      <c r="S86" s="159">
        <f>+T86</f>
        <v>0</v>
      </c>
      <c r="T86" s="151"/>
      <c r="U86" s="159">
        <f>+V86</f>
        <v>2000</v>
      </c>
      <c r="V86" s="151">
        <v>2000</v>
      </c>
      <c r="W86" s="141"/>
    </row>
    <row r="87" spans="1:23" s="56" customFormat="1" ht="30.75" customHeight="1">
      <c r="A87" s="179" t="s">
        <v>514</v>
      </c>
      <c r="B87" s="180" t="s">
        <v>901</v>
      </c>
      <c r="C87" s="140"/>
      <c r="D87" s="140"/>
      <c r="E87" s="140"/>
      <c r="F87" s="140"/>
      <c r="G87" s="150">
        <f>+G88</f>
        <v>5350</v>
      </c>
      <c r="H87" s="150">
        <f aca="true" t="shared" si="30" ref="H87:V87">+H88</f>
        <v>5350</v>
      </c>
      <c r="I87" s="150">
        <f t="shared" si="30"/>
        <v>2500</v>
      </c>
      <c r="J87" s="150">
        <f t="shared" si="30"/>
        <v>2500</v>
      </c>
      <c r="K87" s="150">
        <f t="shared" si="30"/>
        <v>0</v>
      </c>
      <c r="L87" s="150">
        <f t="shared" si="30"/>
        <v>0</v>
      </c>
      <c r="M87" s="150">
        <f t="shared" si="30"/>
        <v>0</v>
      </c>
      <c r="N87" s="150">
        <f t="shared" si="30"/>
        <v>0</v>
      </c>
      <c r="O87" s="150">
        <f t="shared" si="30"/>
        <v>0</v>
      </c>
      <c r="P87" s="150">
        <f t="shared" si="30"/>
        <v>0</v>
      </c>
      <c r="Q87" s="150">
        <f t="shared" si="30"/>
        <v>0</v>
      </c>
      <c r="R87" s="150">
        <f t="shared" si="30"/>
        <v>0</v>
      </c>
      <c r="S87" s="150">
        <f t="shared" si="30"/>
        <v>0</v>
      </c>
      <c r="T87" s="150">
        <f t="shared" si="30"/>
        <v>0</v>
      </c>
      <c r="U87" s="150">
        <f t="shared" si="30"/>
        <v>73</v>
      </c>
      <c r="V87" s="150">
        <f t="shared" si="30"/>
        <v>73</v>
      </c>
      <c r="W87" s="141"/>
    </row>
    <row r="88" spans="1:23" ht="67.5">
      <c r="A88" s="132">
        <f>+A84+1</f>
        <v>19</v>
      </c>
      <c r="B88" s="523" t="s">
        <v>590</v>
      </c>
      <c r="C88" s="517" t="s">
        <v>591</v>
      </c>
      <c r="D88" s="127"/>
      <c r="E88" s="162">
        <v>2012</v>
      </c>
      <c r="F88" s="524" t="s">
        <v>807</v>
      </c>
      <c r="G88" s="178">
        <v>5350</v>
      </c>
      <c r="H88" s="139">
        <f>+G88</f>
        <v>5350</v>
      </c>
      <c r="I88" s="148">
        <f>+I89+I90</f>
        <v>2500</v>
      </c>
      <c r="J88" s="148">
        <f>+J89+J90</f>
        <v>2500</v>
      </c>
      <c r="K88" s="178"/>
      <c r="L88" s="160">
        <f>+K88</f>
        <v>0</v>
      </c>
      <c r="M88" s="148"/>
      <c r="N88" s="148"/>
      <c r="O88" s="148">
        <f>+O89+O90</f>
        <v>0</v>
      </c>
      <c r="P88" s="148">
        <f>+P89+P90</f>
        <v>0</v>
      </c>
      <c r="Q88" s="148"/>
      <c r="R88" s="148"/>
      <c r="S88" s="148">
        <f>+S89+S90</f>
        <v>0</v>
      </c>
      <c r="T88" s="148">
        <f>+T89+T90</f>
        <v>0</v>
      </c>
      <c r="U88" s="148">
        <f>+U89+U90</f>
        <v>73</v>
      </c>
      <c r="V88" s="148">
        <f>+V89+V90</f>
        <v>73</v>
      </c>
      <c r="W88" s="134"/>
    </row>
    <row r="89" spans="1:23" s="56" customFormat="1" ht="22.5">
      <c r="A89" s="143"/>
      <c r="B89" s="155" t="s">
        <v>802</v>
      </c>
      <c r="C89" s="156"/>
      <c r="D89" s="156"/>
      <c r="E89" s="140"/>
      <c r="F89" s="157"/>
      <c r="G89" s="159"/>
      <c r="H89" s="158"/>
      <c r="I89" s="151">
        <f>+J89</f>
        <v>2500</v>
      </c>
      <c r="J89" s="151">
        <v>2500</v>
      </c>
      <c r="K89" s="159">
        <f>+L89</f>
        <v>0</v>
      </c>
      <c r="L89" s="151"/>
      <c r="M89" s="159">
        <f>+N89</f>
        <v>0</v>
      </c>
      <c r="N89" s="151"/>
      <c r="O89" s="159">
        <f>+P89</f>
        <v>0</v>
      </c>
      <c r="P89" s="151"/>
      <c r="Q89" s="159">
        <f>+R89</f>
        <v>0</v>
      </c>
      <c r="R89" s="151"/>
      <c r="S89" s="159">
        <f>+T89</f>
        <v>0</v>
      </c>
      <c r="T89" s="151"/>
      <c r="U89" s="159">
        <f>+V89</f>
        <v>73</v>
      </c>
      <c r="V89" s="151">
        <v>73</v>
      </c>
      <c r="W89" s="138"/>
    </row>
    <row r="90" spans="1:23" s="56" customFormat="1" ht="18" customHeight="1">
      <c r="A90" s="143"/>
      <c r="B90" s="155" t="s">
        <v>801</v>
      </c>
      <c r="C90" s="156"/>
      <c r="D90" s="156"/>
      <c r="E90" s="140"/>
      <c r="F90" s="157"/>
      <c r="G90" s="159"/>
      <c r="H90" s="158"/>
      <c r="I90" s="151">
        <f>+J90</f>
        <v>0</v>
      </c>
      <c r="J90" s="151"/>
      <c r="K90" s="159">
        <f>+L90</f>
        <v>0</v>
      </c>
      <c r="L90" s="151"/>
      <c r="M90" s="159">
        <f>+N90</f>
        <v>0</v>
      </c>
      <c r="N90" s="151"/>
      <c r="O90" s="159">
        <f>+P90</f>
        <v>0</v>
      </c>
      <c r="P90" s="151"/>
      <c r="Q90" s="159">
        <f>+R90</f>
        <v>0</v>
      </c>
      <c r="R90" s="151"/>
      <c r="S90" s="159">
        <f>+T90</f>
        <v>0</v>
      </c>
      <c r="T90" s="151"/>
      <c r="U90" s="159">
        <f>+V90</f>
        <v>0</v>
      </c>
      <c r="V90" s="151"/>
      <c r="W90" s="141"/>
    </row>
    <row r="91" spans="1:23" s="171" customFormat="1" ht="18" customHeight="1">
      <c r="A91" s="163" t="s">
        <v>484</v>
      </c>
      <c r="B91" s="164" t="s">
        <v>660</v>
      </c>
      <c r="C91" s="169"/>
      <c r="D91" s="169"/>
      <c r="E91" s="169"/>
      <c r="F91" s="169"/>
      <c r="G91" s="166">
        <f aca="true" t="shared" si="31" ref="G91:V91">+G92+G115+G111</f>
        <v>466059.48400000005</v>
      </c>
      <c r="H91" s="166">
        <f t="shared" si="31"/>
        <v>380530.3356</v>
      </c>
      <c r="I91" s="166">
        <f t="shared" si="31"/>
        <v>0</v>
      </c>
      <c r="J91" s="166">
        <f t="shared" si="31"/>
        <v>0</v>
      </c>
      <c r="K91" s="166" t="e">
        <f t="shared" si="31"/>
        <v>#REF!</v>
      </c>
      <c r="L91" s="166" t="e">
        <f t="shared" si="31"/>
        <v>#REF!</v>
      </c>
      <c r="M91" s="166" t="e">
        <f t="shared" si="31"/>
        <v>#REF!</v>
      </c>
      <c r="N91" s="166" t="e">
        <f t="shared" si="31"/>
        <v>#REF!</v>
      </c>
      <c r="O91" s="166" t="e">
        <f t="shared" si="31"/>
        <v>#REF!</v>
      </c>
      <c r="P91" s="166" t="e">
        <f t="shared" si="31"/>
        <v>#REF!</v>
      </c>
      <c r="Q91" s="166" t="e">
        <f t="shared" si="31"/>
        <v>#REF!</v>
      </c>
      <c r="R91" s="166" t="e">
        <f t="shared" si="31"/>
        <v>#REF!</v>
      </c>
      <c r="S91" s="166" t="e">
        <f t="shared" si="31"/>
        <v>#REF!</v>
      </c>
      <c r="T91" s="166" t="e">
        <f t="shared" si="31"/>
        <v>#REF!</v>
      </c>
      <c r="U91" s="166" t="e">
        <f t="shared" si="31"/>
        <v>#REF!</v>
      </c>
      <c r="V91" s="166" t="e">
        <f t="shared" si="31"/>
        <v>#REF!</v>
      </c>
      <c r="W91" s="170"/>
    </row>
    <row r="92" spans="1:23" s="56" customFormat="1" ht="18" customHeight="1">
      <c r="A92" s="179" t="s">
        <v>899</v>
      </c>
      <c r="B92" s="180" t="s">
        <v>812</v>
      </c>
      <c r="C92" s="140"/>
      <c r="D92" s="140"/>
      <c r="E92" s="140"/>
      <c r="F92" s="140"/>
      <c r="G92" s="150">
        <f>+G93+G96+G99+G102+G105+G108</f>
        <v>466059.48400000005</v>
      </c>
      <c r="H92" s="150">
        <f aca="true" t="shared" si="32" ref="H92:V92">+H93+H96+H99+H102+H105+H108</f>
        <v>380530.3356</v>
      </c>
      <c r="I92" s="150">
        <f t="shared" si="32"/>
        <v>0</v>
      </c>
      <c r="J92" s="150">
        <f t="shared" si="32"/>
        <v>0</v>
      </c>
      <c r="K92" s="150" t="e">
        <f t="shared" si="32"/>
        <v>#REF!</v>
      </c>
      <c r="L92" s="150" t="e">
        <f t="shared" si="32"/>
        <v>#REF!</v>
      </c>
      <c r="M92" s="150" t="e">
        <f t="shared" si="32"/>
        <v>#REF!</v>
      </c>
      <c r="N92" s="150" t="e">
        <f t="shared" si="32"/>
        <v>#REF!</v>
      </c>
      <c r="O92" s="150" t="e">
        <f t="shared" si="32"/>
        <v>#REF!</v>
      </c>
      <c r="P92" s="150" t="e">
        <f t="shared" si="32"/>
        <v>#REF!</v>
      </c>
      <c r="Q92" s="150" t="e">
        <f t="shared" si="32"/>
        <v>#REF!</v>
      </c>
      <c r="R92" s="150" t="e">
        <f t="shared" si="32"/>
        <v>#REF!</v>
      </c>
      <c r="S92" s="150" t="e">
        <f t="shared" si="32"/>
        <v>#REF!</v>
      </c>
      <c r="T92" s="150" t="e">
        <f t="shared" si="32"/>
        <v>#REF!</v>
      </c>
      <c r="U92" s="150" t="e">
        <f t="shared" si="32"/>
        <v>#REF!</v>
      </c>
      <c r="V92" s="150" t="e">
        <f t="shared" si="32"/>
        <v>#REF!</v>
      </c>
      <c r="W92" s="141"/>
    </row>
    <row r="93" spans="1:24" ht="45">
      <c r="A93" s="132">
        <v>1</v>
      </c>
      <c r="B93" s="144" t="s">
        <v>799</v>
      </c>
      <c r="C93" s="513" t="s">
        <v>767</v>
      </c>
      <c r="D93" s="520"/>
      <c r="E93" s="513" t="s">
        <v>806</v>
      </c>
      <c r="F93" s="520" t="s">
        <v>550</v>
      </c>
      <c r="G93" s="529">
        <v>43248</v>
      </c>
      <c r="H93" s="139"/>
      <c r="I93" s="148"/>
      <c r="J93" s="148"/>
      <c r="K93" s="250" t="e">
        <f aca="true" t="shared" si="33" ref="K93:X93">SUM(K94:K95)</f>
        <v>#REF!</v>
      </c>
      <c r="L93" s="148" t="e">
        <f t="shared" si="33"/>
        <v>#REF!</v>
      </c>
      <c r="M93" s="148" t="e">
        <f t="shared" si="33"/>
        <v>#REF!</v>
      </c>
      <c r="N93" s="148" t="e">
        <f>SUM(N94:N95)</f>
        <v>#REF!</v>
      </c>
      <c r="O93" s="148" t="e">
        <f t="shared" si="33"/>
        <v>#REF!</v>
      </c>
      <c r="P93" s="148" t="e">
        <f t="shared" si="33"/>
        <v>#REF!</v>
      </c>
      <c r="Q93" s="148" t="e">
        <f t="shared" si="33"/>
        <v>#REF!</v>
      </c>
      <c r="R93" s="148" t="e">
        <f t="shared" si="33"/>
        <v>#REF!</v>
      </c>
      <c r="S93" s="148" t="e">
        <f t="shared" si="33"/>
        <v>#REF!</v>
      </c>
      <c r="T93" s="148" t="e">
        <f t="shared" si="33"/>
        <v>#REF!</v>
      </c>
      <c r="U93" s="148" t="e">
        <f t="shared" si="33"/>
        <v>#REF!</v>
      </c>
      <c r="V93" s="148" t="e">
        <f t="shared" si="33"/>
        <v>#REF!</v>
      </c>
      <c r="W93" s="148">
        <f t="shared" si="33"/>
        <v>0</v>
      </c>
      <c r="X93" s="148">
        <f t="shared" si="33"/>
        <v>0</v>
      </c>
    </row>
    <row r="94" spans="1:23" s="56" customFormat="1" ht="22.5">
      <c r="A94" s="143"/>
      <c r="B94" s="155" t="s">
        <v>802</v>
      </c>
      <c r="C94" s="156"/>
      <c r="D94" s="156"/>
      <c r="E94" s="140"/>
      <c r="F94" s="157"/>
      <c r="G94" s="159"/>
      <c r="H94" s="158"/>
      <c r="I94" s="151">
        <f>+J94</f>
        <v>2500</v>
      </c>
      <c r="J94" s="151">
        <v>2500</v>
      </c>
      <c r="K94" s="159" t="e">
        <f>+L94</f>
        <v>#REF!</v>
      </c>
      <c r="L94" s="151" t="e">
        <f>+#REF!</f>
        <v>#REF!</v>
      </c>
      <c r="M94" s="159" t="e">
        <f>+N94</f>
        <v>#REF!</v>
      </c>
      <c r="N94" s="151" t="e">
        <f>+#REF!</f>
        <v>#REF!</v>
      </c>
      <c r="O94" s="159" t="e">
        <f>+P94</f>
        <v>#REF!</v>
      </c>
      <c r="P94" s="151" t="e">
        <f>+#REF!</f>
        <v>#REF!</v>
      </c>
      <c r="Q94" s="159" t="e">
        <f>+R94</f>
        <v>#REF!</v>
      </c>
      <c r="R94" s="151" t="e">
        <f>+#REF!+#REF!</f>
        <v>#REF!</v>
      </c>
      <c r="S94" s="159" t="e">
        <f>+T94</f>
        <v>#REF!</v>
      </c>
      <c r="T94" s="151" t="e">
        <f>+#REF!+#REF!</f>
        <v>#REF!</v>
      </c>
      <c r="U94" s="159" t="e">
        <f>+V94</f>
        <v>#REF!</v>
      </c>
      <c r="V94" s="151" t="e">
        <f>+#REF!</f>
        <v>#REF!</v>
      </c>
      <c r="W94" s="138"/>
    </row>
    <row r="95" spans="1:23" s="56" customFormat="1" ht="18" customHeight="1">
      <c r="A95" s="143"/>
      <c r="B95" s="155" t="s">
        <v>801</v>
      </c>
      <c r="C95" s="156"/>
      <c r="D95" s="156"/>
      <c r="E95" s="140"/>
      <c r="F95" s="157"/>
      <c r="G95" s="159"/>
      <c r="H95" s="158"/>
      <c r="I95" s="151">
        <f>+J95</f>
        <v>0</v>
      </c>
      <c r="J95" s="151"/>
      <c r="K95" s="159">
        <f>+L95</f>
        <v>0</v>
      </c>
      <c r="L95" s="151"/>
      <c r="M95" s="159">
        <f>+N95</f>
        <v>0</v>
      </c>
      <c r="N95" s="151"/>
      <c r="O95" s="159">
        <f>+P95</f>
        <v>0</v>
      </c>
      <c r="P95" s="151"/>
      <c r="Q95" s="159">
        <f>+R95</f>
        <v>0</v>
      </c>
      <c r="R95" s="151"/>
      <c r="S95" s="159">
        <f>+T95</f>
        <v>0</v>
      </c>
      <c r="T95" s="151"/>
      <c r="U95" s="159" t="e">
        <f>+V95</f>
        <v>#REF!</v>
      </c>
      <c r="V95" s="151" t="e">
        <f>+#REF!</f>
        <v>#REF!</v>
      </c>
      <c r="W95" s="141"/>
    </row>
    <row r="96" spans="1:24" ht="45">
      <c r="A96" s="132">
        <f>+A93+1</f>
        <v>2</v>
      </c>
      <c r="B96" s="144" t="s">
        <v>826</v>
      </c>
      <c r="C96" s="527" t="s">
        <v>765</v>
      </c>
      <c r="D96" s="528"/>
      <c r="E96" s="513" t="s">
        <v>976</v>
      </c>
      <c r="F96" s="528" t="s">
        <v>972</v>
      </c>
      <c r="G96" s="529">
        <v>81118.3</v>
      </c>
      <c r="H96" s="530">
        <f>+G96*0.9</f>
        <v>73006.47</v>
      </c>
      <c r="I96" s="151"/>
      <c r="J96" s="148"/>
      <c r="K96" s="250" t="e">
        <f aca="true" t="shared" si="34" ref="K96:X96">SUM(K97:K98)</f>
        <v>#REF!</v>
      </c>
      <c r="L96" s="148" t="e">
        <f t="shared" si="34"/>
        <v>#REF!</v>
      </c>
      <c r="M96" s="148" t="e">
        <f t="shared" si="34"/>
        <v>#REF!</v>
      </c>
      <c r="N96" s="148" t="e">
        <f>SUM(N97:N98)</f>
        <v>#REF!</v>
      </c>
      <c r="O96" s="148">
        <f t="shared" si="34"/>
        <v>0</v>
      </c>
      <c r="P96" s="148">
        <f t="shared" si="34"/>
        <v>0</v>
      </c>
      <c r="Q96" s="148" t="e">
        <f t="shared" si="34"/>
        <v>#REF!</v>
      </c>
      <c r="R96" s="148" t="e">
        <f>SUM(R97:R98)</f>
        <v>#REF!</v>
      </c>
      <c r="S96" s="148">
        <f t="shared" si="34"/>
        <v>0</v>
      </c>
      <c r="T96" s="148">
        <f t="shared" si="34"/>
        <v>0</v>
      </c>
      <c r="U96" s="148" t="e">
        <f t="shared" si="34"/>
        <v>#REF!</v>
      </c>
      <c r="V96" s="148" t="e">
        <f>SUM(V97:V98)</f>
        <v>#REF!</v>
      </c>
      <c r="W96" s="148">
        <f t="shared" si="34"/>
        <v>0</v>
      </c>
      <c r="X96" s="148">
        <f t="shared" si="34"/>
        <v>0</v>
      </c>
    </row>
    <row r="97" spans="1:23" s="56" customFormat="1" ht="22.5">
      <c r="A97" s="143"/>
      <c r="B97" s="155" t="s">
        <v>802</v>
      </c>
      <c r="C97" s="156"/>
      <c r="D97" s="156"/>
      <c r="E97" s="140"/>
      <c r="F97" s="157"/>
      <c r="G97" s="159"/>
      <c r="H97" s="158"/>
      <c r="I97" s="151">
        <f>+J97</f>
        <v>2500</v>
      </c>
      <c r="J97" s="151">
        <v>2500</v>
      </c>
      <c r="K97" s="159">
        <f>+L97</f>
        <v>0</v>
      </c>
      <c r="L97" s="151"/>
      <c r="M97" s="159">
        <f>+N97</f>
        <v>0</v>
      </c>
      <c r="N97" s="151"/>
      <c r="O97" s="159">
        <f>+P97</f>
        <v>0</v>
      </c>
      <c r="P97" s="151"/>
      <c r="Q97" s="159">
        <f>+R97</f>
        <v>0</v>
      </c>
      <c r="R97" s="151"/>
      <c r="S97" s="159">
        <f>+T97</f>
        <v>0</v>
      </c>
      <c r="T97" s="151"/>
      <c r="U97" s="159">
        <f>+V97</f>
        <v>0</v>
      </c>
      <c r="V97" s="151"/>
      <c r="W97" s="138"/>
    </row>
    <row r="98" spans="1:23" s="56" customFormat="1" ht="18" customHeight="1">
      <c r="A98" s="143"/>
      <c r="B98" s="155" t="s">
        <v>801</v>
      </c>
      <c r="C98" s="156"/>
      <c r="D98" s="156"/>
      <c r="E98" s="140"/>
      <c r="F98" s="157"/>
      <c r="G98" s="159"/>
      <c r="H98" s="158"/>
      <c r="I98" s="151">
        <f>+J98</f>
        <v>0</v>
      </c>
      <c r="J98" s="151"/>
      <c r="K98" s="159" t="e">
        <f>+L98</f>
        <v>#REF!</v>
      </c>
      <c r="L98" s="151" t="e">
        <f>+#REF!</f>
        <v>#REF!</v>
      </c>
      <c r="M98" s="159" t="e">
        <f>+N98</f>
        <v>#REF!</v>
      </c>
      <c r="N98" s="151" t="e">
        <f>+#REF!</f>
        <v>#REF!</v>
      </c>
      <c r="O98" s="159">
        <f>+P98</f>
        <v>0</v>
      </c>
      <c r="P98" s="151"/>
      <c r="Q98" s="159" t="e">
        <f>+R98</f>
        <v>#REF!</v>
      </c>
      <c r="R98" s="151" t="e">
        <f>+#REF!+'Bieu 3 (cu)'!N98</f>
        <v>#REF!</v>
      </c>
      <c r="S98" s="159">
        <f>+T98</f>
        <v>0</v>
      </c>
      <c r="T98" s="151"/>
      <c r="U98" s="159" t="e">
        <f>+V98</f>
        <v>#REF!</v>
      </c>
      <c r="V98" s="151" t="e">
        <f>+#REF!</f>
        <v>#REF!</v>
      </c>
      <c r="W98" s="141"/>
    </row>
    <row r="99" spans="1:24" ht="45">
      <c r="A99" s="132">
        <f>+A96+1</f>
        <v>3</v>
      </c>
      <c r="B99" s="144" t="s">
        <v>827</v>
      </c>
      <c r="C99" s="527" t="s">
        <v>765</v>
      </c>
      <c r="D99" s="528"/>
      <c r="E99" s="513" t="s">
        <v>552</v>
      </c>
      <c r="F99" s="528" t="s">
        <v>551</v>
      </c>
      <c r="G99" s="529">
        <v>37067.6</v>
      </c>
      <c r="H99" s="530">
        <f>+G99*0.9</f>
        <v>33360.84</v>
      </c>
      <c r="I99" s="151"/>
      <c r="J99" s="148"/>
      <c r="K99" s="250" t="e">
        <f aca="true" t="shared" si="35" ref="K99:X99">SUM(K100:K101)</f>
        <v>#REF!</v>
      </c>
      <c r="L99" s="148" t="e">
        <f t="shared" si="35"/>
        <v>#REF!</v>
      </c>
      <c r="M99" s="148" t="e">
        <f t="shared" si="35"/>
        <v>#REF!</v>
      </c>
      <c r="N99" s="148" t="e">
        <f t="shared" si="35"/>
        <v>#REF!</v>
      </c>
      <c r="O99" s="148">
        <f t="shared" si="35"/>
        <v>0</v>
      </c>
      <c r="P99" s="148">
        <f t="shared" si="35"/>
        <v>0</v>
      </c>
      <c r="Q99" s="148" t="e">
        <f t="shared" si="35"/>
        <v>#REF!</v>
      </c>
      <c r="R99" s="148" t="e">
        <f>SUM(R100:R101)</f>
        <v>#REF!</v>
      </c>
      <c r="S99" s="148">
        <f t="shared" si="35"/>
        <v>0</v>
      </c>
      <c r="T99" s="148">
        <f t="shared" si="35"/>
        <v>0</v>
      </c>
      <c r="U99" s="148" t="e">
        <f t="shared" si="35"/>
        <v>#REF!</v>
      </c>
      <c r="V99" s="148" t="e">
        <f>SUM(V100:V101)</f>
        <v>#REF!</v>
      </c>
      <c r="W99" s="148">
        <f t="shared" si="35"/>
        <v>0</v>
      </c>
      <c r="X99" s="148">
        <f t="shared" si="35"/>
        <v>0</v>
      </c>
    </row>
    <row r="100" spans="1:23" s="56" customFormat="1" ht="22.5">
      <c r="A100" s="143"/>
      <c r="B100" s="155" t="s">
        <v>802</v>
      </c>
      <c r="C100" s="156"/>
      <c r="D100" s="156"/>
      <c r="E100" s="140"/>
      <c r="F100" s="157"/>
      <c r="G100" s="159"/>
      <c r="H100" s="158"/>
      <c r="I100" s="151">
        <f>+J100</f>
        <v>2500</v>
      </c>
      <c r="J100" s="151">
        <v>2500</v>
      </c>
      <c r="K100" s="159">
        <f>+L100</f>
        <v>0</v>
      </c>
      <c r="L100" s="151"/>
      <c r="M100" s="159">
        <f>+N100</f>
        <v>0</v>
      </c>
      <c r="N100" s="151"/>
      <c r="O100" s="159">
        <f>+P100</f>
        <v>0</v>
      </c>
      <c r="P100" s="151"/>
      <c r="Q100" s="159">
        <f>+R100</f>
        <v>0</v>
      </c>
      <c r="R100" s="151"/>
      <c r="S100" s="159">
        <f>+T100</f>
        <v>0</v>
      </c>
      <c r="T100" s="151"/>
      <c r="U100" s="159">
        <f>+V100</f>
        <v>0</v>
      </c>
      <c r="V100" s="151"/>
      <c r="W100" s="138"/>
    </row>
    <row r="101" spans="1:23" s="56" customFormat="1" ht="18" customHeight="1">
      <c r="A101" s="143"/>
      <c r="B101" s="155" t="s">
        <v>801</v>
      </c>
      <c r="C101" s="156"/>
      <c r="D101" s="156"/>
      <c r="E101" s="140"/>
      <c r="F101" s="157"/>
      <c r="G101" s="159"/>
      <c r="H101" s="158"/>
      <c r="I101" s="151">
        <f>+J101</f>
        <v>0</v>
      </c>
      <c r="J101" s="151"/>
      <c r="K101" s="159" t="e">
        <f>+L101</f>
        <v>#REF!</v>
      </c>
      <c r="L101" s="151" t="e">
        <f>+#REF!</f>
        <v>#REF!</v>
      </c>
      <c r="M101" s="159" t="e">
        <f>+N101</f>
        <v>#REF!</v>
      </c>
      <c r="N101" s="151" t="e">
        <f>+#REF!</f>
        <v>#REF!</v>
      </c>
      <c r="O101" s="159">
        <f>+P101</f>
        <v>0</v>
      </c>
      <c r="P101" s="151"/>
      <c r="Q101" s="159" t="e">
        <f>+R101</f>
        <v>#REF!</v>
      </c>
      <c r="R101" s="151" t="e">
        <f>+#REF!</f>
        <v>#REF!</v>
      </c>
      <c r="S101" s="159">
        <f>+T101</f>
        <v>0</v>
      </c>
      <c r="T101" s="151"/>
      <c r="U101" s="159" t="e">
        <f>+V101</f>
        <v>#REF!</v>
      </c>
      <c r="V101" s="151" t="e">
        <f>+#REF!</f>
        <v>#REF!</v>
      </c>
      <c r="W101" s="141"/>
    </row>
    <row r="102" spans="1:24" ht="45">
      <c r="A102" s="132">
        <f>+A99+1</f>
        <v>4</v>
      </c>
      <c r="B102" s="144" t="s">
        <v>506</v>
      </c>
      <c r="C102" s="527" t="s">
        <v>774</v>
      </c>
      <c r="D102" s="528"/>
      <c r="E102" s="513" t="s">
        <v>552</v>
      </c>
      <c r="F102" s="528" t="s">
        <v>977</v>
      </c>
      <c r="G102" s="529">
        <v>137861</v>
      </c>
      <c r="H102" s="530">
        <f>+G102*0.9</f>
        <v>124074.90000000001</v>
      </c>
      <c r="I102" s="148"/>
      <c r="J102" s="148"/>
      <c r="K102" s="250" t="e">
        <f aca="true" t="shared" si="36" ref="K102:X102">SUM(K103:K104)</f>
        <v>#REF!</v>
      </c>
      <c r="L102" s="148" t="e">
        <f t="shared" si="36"/>
        <v>#REF!</v>
      </c>
      <c r="M102" s="148" t="e">
        <f t="shared" si="36"/>
        <v>#REF!</v>
      </c>
      <c r="N102" s="148" t="e">
        <f t="shared" si="36"/>
        <v>#REF!</v>
      </c>
      <c r="O102" s="148">
        <f t="shared" si="36"/>
        <v>0</v>
      </c>
      <c r="P102" s="148">
        <f t="shared" si="36"/>
        <v>0</v>
      </c>
      <c r="Q102" s="148" t="e">
        <f t="shared" si="36"/>
        <v>#REF!</v>
      </c>
      <c r="R102" s="148" t="e">
        <f t="shared" si="36"/>
        <v>#REF!</v>
      </c>
      <c r="S102" s="148">
        <f t="shared" si="36"/>
        <v>0</v>
      </c>
      <c r="T102" s="148">
        <f t="shared" si="36"/>
        <v>0</v>
      </c>
      <c r="U102" s="148" t="e">
        <f t="shared" si="36"/>
        <v>#REF!</v>
      </c>
      <c r="V102" s="148" t="e">
        <f>SUM(V103:V104)</f>
        <v>#REF!</v>
      </c>
      <c r="W102" s="148">
        <f t="shared" si="36"/>
        <v>0</v>
      </c>
      <c r="X102" s="148">
        <f t="shared" si="36"/>
        <v>0</v>
      </c>
    </row>
    <row r="103" spans="1:23" s="56" customFormat="1" ht="22.5">
      <c r="A103" s="143"/>
      <c r="B103" s="155" t="s">
        <v>802</v>
      </c>
      <c r="C103" s="156"/>
      <c r="D103" s="156"/>
      <c r="E103" s="140"/>
      <c r="F103" s="157"/>
      <c r="G103" s="159"/>
      <c r="H103" s="158"/>
      <c r="I103" s="151">
        <f>+J103</f>
        <v>2500</v>
      </c>
      <c r="J103" s="151">
        <v>2500</v>
      </c>
      <c r="K103" s="159">
        <f>+L103</f>
        <v>0</v>
      </c>
      <c r="L103" s="151"/>
      <c r="M103" s="159">
        <f>+N103</f>
        <v>0</v>
      </c>
      <c r="N103" s="151"/>
      <c r="O103" s="159">
        <f>+P103</f>
        <v>0</v>
      </c>
      <c r="P103" s="151"/>
      <c r="Q103" s="159">
        <f>+R103</f>
        <v>0</v>
      </c>
      <c r="R103" s="151"/>
      <c r="S103" s="159">
        <f>+T103</f>
        <v>0</v>
      </c>
      <c r="T103" s="151"/>
      <c r="U103" s="159">
        <f>+V103</f>
        <v>0</v>
      </c>
      <c r="V103" s="151"/>
      <c r="W103" s="138"/>
    </row>
    <row r="104" spans="1:23" s="56" customFormat="1" ht="18" customHeight="1">
      <c r="A104" s="143"/>
      <c r="B104" s="155" t="s">
        <v>801</v>
      </c>
      <c r="C104" s="156"/>
      <c r="D104" s="156"/>
      <c r="E104" s="140"/>
      <c r="F104" s="157"/>
      <c r="G104" s="159"/>
      <c r="H104" s="158"/>
      <c r="I104" s="151">
        <f>+J104</f>
        <v>0</v>
      </c>
      <c r="J104" s="151"/>
      <c r="K104" s="159" t="e">
        <f>+L104</f>
        <v>#REF!</v>
      </c>
      <c r="L104" s="151" t="e">
        <f>+#REF!</f>
        <v>#REF!</v>
      </c>
      <c r="M104" s="159" t="e">
        <f>+N104</f>
        <v>#REF!</v>
      </c>
      <c r="N104" s="151" t="e">
        <f>+#REF!</f>
        <v>#REF!</v>
      </c>
      <c r="O104" s="159">
        <f>+P104</f>
        <v>0</v>
      </c>
      <c r="P104" s="151"/>
      <c r="Q104" s="159" t="e">
        <f>+R104</f>
        <v>#REF!</v>
      </c>
      <c r="R104" s="151" t="e">
        <f>+#REF!</f>
        <v>#REF!</v>
      </c>
      <c r="S104" s="159">
        <f>+T104</f>
        <v>0</v>
      </c>
      <c r="T104" s="151"/>
      <c r="U104" s="159" t="e">
        <f>+V104</f>
        <v>#REF!</v>
      </c>
      <c r="V104" s="151" t="e">
        <f>+#REF!</f>
        <v>#REF!</v>
      </c>
      <c r="W104" s="141"/>
    </row>
    <row r="105" spans="1:23" s="593" customFormat="1" ht="67.5">
      <c r="A105" s="584">
        <v>5</v>
      </c>
      <c r="B105" s="597" t="s">
        <v>777</v>
      </c>
      <c r="C105" s="586" t="s">
        <v>780</v>
      </c>
      <c r="D105" s="587">
        <v>9000</v>
      </c>
      <c r="E105" s="588">
        <v>2014</v>
      </c>
      <c r="F105" s="588" t="s">
        <v>783</v>
      </c>
      <c r="G105" s="589">
        <v>166764.584</v>
      </c>
      <c r="H105" s="590">
        <f>+G105*0.9</f>
        <v>150088.1256</v>
      </c>
      <c r="I105" s="589"/>
      <c r="J105" s="589"/>
      <c r="K105" s="591">
        <f aca="true" t="shared" si="37" ref="K105:V105">+K106+K107</f>
        <v>6075</v>
      </c>
      <c r="L105" s="591">
        <f>+L106+L107</f>
        <v>6075</v>
      </c>
      <c r="M105" s="591">
        <f t="shared" si="37"/>
        <v>0</v>
      </c>
      <c r="N105" s="591">
        <f t="shared" si="37"/>
        <v>0</v>
      </c>
      <c r="O105" s="591">
        <f t="shared" si="37"/>
        <v>0</v>
      </c>
      <c r="P105" s="591">
        <f t="shared" si="37"/>
        <v>0</v>
      </c>
      <c r="Q105" s="591">
        <f t="shared" si="37"/>
        <v>0</v>
      </c>
      <c r="R105" s="591">
        <f t="shared" si="37"/>
        <v>0</v>
      </c>
      <c r="S105" s="591">
        <f t="shared" si="37"/>
        <v>6075</v>
      </c>
      <c r="T105" s="591">
        <f t="shared" si="37"/>
        <v>6075</v>
      </c>
      <c r="U105" s="591">
        <f t="shared" si="37"/>
        <v>30000</v>
      </c>
      <c r="V105" s="591">
        <f t="shared" si="37"/>
        <v>30000</v>
      </c>
      <c r="W105" s="592"/>
    </row>
    <row r="106" spans="1:23" s="593" customFormat="1" ht="22.5">
      <c r="A106" s="584"/>
      <c r="B106" s="594" t="s">
        <v>802</v>
      </c>
      <c r="C106" s="595"/>
      <c r="D106" s="595"/>
      <c r="E106" s="588"/>
      <c r="F106" s="588"/>
      <c r="G106" s="589"/>
      <c r="H106" s="590"/>
      <c r="I106" s="596">
        <f>+J106</f>
        <v>0</v>
      </c>
      <c r="J106" s="589"/>
      <c r="K106" s="589">
        <f>+L106</f>
        <v>0</v>
      </c>
      <c r="L106" s="589"/>
      <c r="M106" s="589">
        <f>+N106</f>
        <v>0</v>
      </c>
      <c r="N106" s="589"/>
      <c r="O106" s="589">
        <f>+P106</f>
        <v>0</v>
      </c>
      <c r="P106" s="589"/>
      <c r="Q106" s="589">
        <f>+R106</f>
        <v>0</v>
      </c>
      <c r="R106" s="589"/>
      <c r="S106" s="589">
        <f>+T106</f>
        <v>0</v>
      </c>
      <c r="T106" s="589">
        <f>+L106</f>
        <v>0</v>
      </c>
      <c r="U106" s="589">
        <f>+V106</f>
        <v>0</v>
      </c>
      <c r="V106" s="589"/>
      <c r="W106" s="592"/>
    </row>
    <row r="107" spans="1:23" s="593" customFormat="1" ht="15" customHeight="1">
      <c r="A107" s="584"/>
      <c r="B107" s="594" t="s">
        <v>801</v>
      </c>
      <c r="C107" s="595"/>
      <c r="D107" s="595"/>
      <c r="E107" s="588"/>
      <c r="F107" s="588"/>
      <c r="G107" s="589"/>
      <c r="H107" s="590"/>
      <c r="I107" s="596">
        <f>+J107</f>
        <v>0</v>
      </c>
      <c r="J107" s="589"/>
      <c r="K107" s="589">
        <f>+L107</f>
        <v>6075</v>
      </c>
      <c r="L107" s="589">
        <v>6075</v>
      </c>
      <c r="M107" s="589">
        <f>+N107</f>
        <v>0</v>
      </c>
      <c r="N107" s="589"/>
      <c r="O107" s="589">
        <f>+P107</f>
        <v>0</v>
      </c>
      <c r="P107" s="589"/>
      <c r="Q107" s="589">
        <f>+R107</f>
        <v>0</v>
      </c>
      <c r="R107" s="589"/>
      <c r="S107" s="589">
        <f>+T107</f>
        <v>6075</v>
      </c>
      <c r="T107" s="589">
        <f>+L107</f>
        <v>6075</v>
      </c>
      <c r="U107" s="589">
        <f>+V107</f>
        <v>30000</v>
      </c>
      <c r="V107" s="589">
        <v>30000</v>
      </c>
      <c r="W107" s="592"/>
    </row>
    <row r="108" spans="1:23" s="593" customFormat="1" ht="45">
      <c r="A108" s="584">
        <v>6</v>
      </c>
      <c r="B108" s="598" t="s">
        <v>281</v>
      </c>
      <c r="C108" s="586"/>
      <c r="D108" s="587"/>
      <c r="E108" s="588" t="s">
        <v>518</v>
      </c>
      <c r="F108" s="588"/>
      <c r="G108" s="589"/>
      <c r="H108" s="590"/>
      <c r="I108" s="589"/>
      <c r="J108" s="589"/>
      <c r="K108" s="591">
        <f>+K109+K110</f>
        <v>2700</v>
      </c>
      <c r="L108" s="591">
        <f>+L109+L110</f>
        <v>2700</v>
      </c>
      <c r="M108" s="589"/>
      <c r="N108" s="589"/>
      <c r="O108" s="589"/>
      <c r="P108" s="589"/>
      <c r="Q108" s="589"/>
      <c r="R108" s="589"/>
      <c r="S108" s="589"/>
      <c r="T108" s="589"/>
      <c r="U108" s="591" t="e">
        <f>+U109+U110</f>
        <v>#REF!</v>
      </c>
      <c r="V108" s="591" t="e">
        <f>+V109+V110</f>
        <v>#REF!</v>
      </c>
      <c r="W108" s="592"/>
    </row>
    <row r="109" spans="1:23" s="593" customFormat="1" ht="22.5" customHeight="1">
      <c r="A109" s="584"/>
      <c r="B109" s="594" t="s">
        <v>802</v>
      </c>
      <c r="C109" s="595"/>
      <c r="D109" s="595"/>
      <c r="E109" s="588"/>
      <c r="F109" s="588"/>
      <c r="G109" s="589"/>
      <c r="H109" s="590"/>
      <c r="I109" s="589"/>
      <c r="J109" s="589"/>
      <c r="K109" s="589">
        <f>+L109</f>
        <v>2700</v>
      </c>
      <c r="L109" s="589">
        <v>2700</v>
      </c>
      <c r="M109" s="589">
        <f>+N109</f>
        <v>0</v>
      </c>
      <c r="N109" s="589"/>
      <c r="O109" s="589">
        <f>+P109</f>
        <v>0</v>
      </c>
      <c r="P109" s="589"/>
      <c r="Q109" s="589">
        <f>+R109</f>
        <v>0</v>
      </c>
      <c r="R109" s="589"/>
      <c r="S109" s="589">
        <f>+T109</f>
        <v>2700</v>
      </c>
      <c r="T109" s="589">
        <f>+L109</f>
        <v>2700</v>
      </c>
      <c r="U109" s="589">
        <f>+V109</f>
        <v>7000</v>
      </c>
      <c r="V109" s="589">
        <v>7000</v>
      </c>
      <c r="W109" s="592"/>
    </row>
    <row r="110" spans="1:23" s="593" customFormat="1" ht="15" customHeight="1">
      <c r="A110" s="584"/>
      <c r="B110" s="594" t="s">
        <v>801</v>
      </c>
      <c r="C110" s="595"/>
      <c r="D110" s="595"/>
      <c r="E110" s="588"/>
      <c r="F110" s="588"/>
      <c r="G110" s="589"/>
      <c r="H110" s="590"/>
      <c r="I110" s="589"/>
      <c r="J110" s="589"/>
      <c r="K110" s="589">
        <f>+L110</f>
        <v>0</v>
      </c>
      <c r="L110" s="589"/>
      <c r="M110" s="589">
        <f>+N110</f>
        <v>0</v>
      </c>
      <c r="N110" s="589"/>
      <c r="O110" s="589">
        <f>+P110</f>
        <v>0</v>
      </c>
      <c r="P110" s="589"/>
      <c r="Q110" s="589">
        <f>+R110</f>
        <v>0</v>
      </c>
      <c r="R110" s="589"/>
      <c r="S110" s="589">
        <f>+T110</f>
        <v>0</v>
      </c>
      <c r="T110" s="589">
        <f>+L110</f>
        <v>0</v>
      </c>
      <c r="U110" s="589" t="e">
        <f>+V110</f>
        <v>#REF!</v>
      </c>
      <c r="V110" s="589" t="e">
        <f>+#REF!</f>
        <v>#REF!</v>
      </c>
      <c r="W110" s="592"/>
    </row>
    <row r="111" spans="1:23" s="56" customFormat="1" ht="27.75" customHeight="1">
      <c r="A111" s="179" t="s">
        <v>900</v>
      </c>
      <c r="B111" s="180" t="s">
        <v>898</v>
      </c>
      <c r="C111" s="140"/>
      <c r="D111" s="140"/>
      <c r="E111" s="140"/>
      <c r="F111" s="140"/>
      <c r="G111" s="150">
        <f aca="true" t="shared" si="38" ref="G111:V111">+G112</f>
        <v>0</v>
      </c>
      <c r="H111" s="150">
        <f t="shared" si="38"/>
        <v>0</v>
      </c>
      <c r="I111" s="150">
        <f t="shared" si="38"/>
        <v>0</v>
      </c>
      <c r="J111" s="150">
        <f t="shared" si="38"/>
        <v>0</v>
      </c>
      <c r="K111" s="150">
        <f t="shared" si="38"/>
        <v>5000</v>
      </c>
      <c r="L111" s="150">
        <f t="shared" si="38"/>
        <v>5000</v>
      </c>
      <c r="M111" s="150">
        <f t="shared" si="38"/>
        <v>0</v>
      </c>
      <c r="N111" s="150">
        <f t="shared" si="38"/>
        <v>0</v>
      </c>
      <c r="O111" s="150">
        <f t="shared" si="38"/>
        <v>0</v>
      </c>
      <c r="P111" s="150">
        <f t="shared" si="38"/>
        <v>0</v>
      </c>
      <c r="Q111" s="150">
        <f t="shared" si="38"/>
        <v>0</v>
      </c>
      <c r="R111" s="150">
        <f t="shared" si="38"/>
        <v>0</v>
      </c>
      <c r="S111" s="150">
        <f t="shared" si="38"/>
        <v>5000</v>
      </c>
      <c r="T111" s="150">
        <f t="shared" si="38"/>
        <v>5000</v>
      </c>
      <c r="U111" s="150">
        <f t="shared" si="38"/>
        <v>1500</v>
      </c>
      <c r="V111" s="150">
        <f t="shared" si="38"/>
        <v>1500</v>
      </c>
      <c r="W111" s="141"/>
    </row>
    <row r="112" spans="1:23" s="593" customFormat="1" ht="146.25" customHeight="1">
      <c r="A112" s="584">
        <v>1</v>
      </c>
      <c r="B112" s="598" t="s">
        <v>1156</v>
      </c>
      <c r="C112" s="127" t="s">
        <v>766</v>
      </c>
      <c r="D112" s="587"/>
      <c r="E112" s="588">
        <v>2014</v>
      </c>
      <c r="F112" s="588"/>
      <c r="G112" s="591">
        <f aca="true" t="shared" si="39" ref="G112:T112">+G113+G114</f>
        <v>0</v>
      </c>
      <c r="H112" s="591">
        <f t="shared" si="39"/>
        <v>0</v>
      </c>
      <c r="I112" s="591">
        <f t="shared" si="39"/>
        <v>0</v>
      </c>
      <c r="J112" s="591">
        <f t="shared" si="39"/>
        <v>0</v>
      </c>
      <c r="K112" s="591">
        <f t="shared" si="39"/>
        <v>5000</v>
      </c>
      <c r="L112" s="591">
        <f t="shared" si="39"/>
        <v>5000</v>
      </c>
      <c r="M112" s="591">
        <f t="shared" si="39"/>
        <v>0</v>
      </c>
      <c r="N112" s="591">
        <f t="shared" si="39"/>
        <v>0</v>
      </c>
      <c r="O112" s="591">
        <f t="shared" si="39"/>
        <v>0</v>
      </c>
      <c r="P112" s="591">
        <f t="shared" si="39"/>
        <v>0</v>
      </c>
      <c r="Q112" s="591">
        <f t="shared" si="39"/>
        <v>0</v>
      </c>
      <c r="R112" s="591">
        <f t="shared" si="39"/>
        <v>0</v>
      </c>
      <c r="S112" s="591">
        <f t="shared" si="39"/>
        <v>5000</v>
      </c>
      <c r="T112" s="591">
        <f t="shared" si="39"/>
        <v>5000</v>
      </c>
      <c r="U112" s="591">
        <f>+U113+U114</f>
        <v>1500</v>
      </c>
      <c r="V112" s="591">
        <f>+V113+V114</f>
        <v>1500</v>
      </c>
      <c r="W112" s="592"/>
    </row>
    <row r="113" spans="1:23" s="593" customFormat="1" ht="22.5" customHeight="1">
      <c r="A113" s="584"/>
      <c r="B113" s="594" t="s">
        <v>802</v>
      </c>
      <c r="C113" s="595"/>
      <c r="D113" s="595"/>
      <c r="E113" s="588"/>
      <c r="F113" s="588"/>
      <c r="G113" s="589"/>
      <c r="H113" s="590"/>
      <c r="I113" s="589"/>
      <c r="J113" s="589"/>
      <c r="K113" s="589">
        <f>+L113</f>
        <v>0</v>
      </c>
      <c r="L113" s="589"/>
      <c r="M113" s="589">
        <f>+N113</f>
        <v>0</v>
      </c>
      <c r="N113" s="589"/>
      <c r="O113" s="589">
        <f>+P113</f>
        <v>0</v>
      </c>
      <c r="P113" s="589"/>
      <c r="Q113" s="589">
        <f>+R113</f>
        <v>0</v>
      </c>
      <c r="R113" s="589"/>
      <c r="S113" s="589">
        <f>+T113</f>
        <v>0</v>
      </c>
      <c r="T113" s="589">
        <f>+L113</f>
        <v>0</v>
      </c>
      <c r="U113" s="589">
        <f>+V113</f>
        <v>1500</v>
      </c>
      <c r="V113" s="589">
        <v>1500</v>
      </c>
      <c r="W113" s="592"/>
    </row>
    <row r="114" spans="1:23" s="593" customFormat="1" ht="15" customHeight="1">
      <c r="A114" s="584"/>
      <c r="B114" s="594" t="s">
        <v>801</v>
      </c>
      <c r="C114" s="595"/>
      <c r="D114" s="595"/>
      <c r="E114" s="588"/>
      <c r="F114" s="588"/>
      <c r="G114" s="589"/>
      <c r="H114" s="590"/>
      <c r="I114" s="589"/>
      <c r="J114" s="589"/>
      <c r="K114" s="589">
        <f>+L114</f>
        <v>5000</v>
      </c>
      <c r="L114" s="589">
        <v>5000</v>
      </c>
      <c r="M114" s="589">
        <f>+N114</f>
        <v>0</v>
      </c>
      <c r="N114" s="589"/>
      <c r="O114" s="589">
        <f>+P114</f>
        <v>0</v>
      </c>
      <c r="P114" s="589"/>
      <c r="Q114" s="589">
        <f>+R114</f>
        <v>0</v>
      </c>
      <c r="R114" s="589"/>
      <c r="S114" s="589">
        <f>+T114</f>
        <v>5000</v>
      </c>
      <c r="T114" s="589">
        <f>+L114</f>
        <v>5000</v>
      </c>
      <c r="U114" s="589">
        <f>+V114</f>
        <v>0</v>
      </c>
      <c r="V114" s="589"/>
      <c r="W114" s="592"/>
    </row>
    <row r="115" spans="1:23" s="56" customFormat="1" ht="24" customHeight="1">
      <c r="A115" s="179" t="s">
        <v>686</v>
      </c>
      <c r="B115" s="180" t="s">
        <v>517</v>
      </c>
      <c r="C115" s="140"/>
      <c r="D115" s="140"/>
      <c r="E115" s="140"/>
      <c r="F115" s="140"/>
      <c r="G115" s="150">
        <f>+G116</f>
        <v>0</v>
      </c>
      <c r="H115" s="150">
        <f aca="true" t="shared" si="40" ref="H115:V115">+H116</f>
        <v>0</v>
      </c>
      <c r="I115" s="150">
        <f t="shared" si="40"/>
        <v>0</v>
      </c>
      <c r="J115" s="150">
        <f t="shared" si="40"/>
        <v>0</v>
      </c>
      <c r="K115" s="150">
        <f t="shared" si="40"/>
        <v>1600</v>
      </c>
      <c r="L115" s="150">
        <f t="shared" si="40"/>
        <v>1600</v>
      </c>
      <c r="M115" s="150" t="e">
        <f t="shared" si="40"/>
        <v>#REF!</v>
      </c>
      <c r="N115" s="150" t="e">
        <f t="shared" si="40"/>
        <v>#REF!</v>
      </c>
      <c r="O115" s="150" t="e">
        <f t="shared" si="40"/>
        <v>#REF!</v>
      </c>
      <c r="P115" s="150" t="e">
        <f t="shared" si="40"/>
        <v>#REF!</v>
      </c>
      <c r="Q115" s="150" t="e">
        <f t="shared" si="40"/>
        <v>#REF!</v>
      </c>
      <c r="R115" s="150" t="e">
        <f t="shared" si="40"/>
        <v>#REF!</v>
      </c>
      <c r="S115" s="150" t="e">
        <f t="shared" si="40"/>
        <v>#REF!</v>
      </c>
      <c r="T115" s="150" t="e">
        <f t="shared" si="40"/>
        <v>#REF!</v>
      </c>
      <c r="U115" s="150">
        <f t="shared" si="40"/>
        <v>0</v>
      </c>
      <c r="V115" s="150">
        <f t="shared" si="40"/>
        <v>0</v>
      </c>
      <c r="W115" s="141"/>
    </row>
    <row r="116" spans="1:24" ht="28.5" customHeight="1">
      <c r="A116" s="132">
        <v>1</v>
      </c>
      <c r="B116" s="144" t="s">
        <v>507</v>
      </c>
      <c r="C116" s="513"/>
      <c r="D116" s="520"/>
      <c r="E116" s="513"/>
      <c r="F116" s="520"/>
      <c r="G116" s="529"/>
      <c r="H116" s="139"/>
      <c r="I116" s="148"/>
      <c r="J116" s="148"/>
      <c r="K116" s="250">
        <f aca="true" t="shared" si="41" ref="K116:X116">SUM(K117:K118)</f>
        <v>1600</v>
      </c>
      <c r="L116" s="148">
        <f t="shared" si="41"/>
        <v>1600</v>
      </c>
      <c r="M116" s="148" t="e">
        <f t="shared" si="41"/>
        <v>#REF!</v>
      </c>
      <c r="N116" s="148" t="e">
        <f t="shared" si="41"/>
        <v>#REF!</v>
      </c>
      <c r="O116" s="148" t="e">
        <f t="shared" si="41"/>
        <v>#REF!</v>
      </c>
      <c r="P116" s="148" t="e">
        <f t="shared" si="41"/>
        <v>#REF!</v>
      </c>
      <c r="Q116" s="148" t="e">
        <f t="shared" si="41"/>
        <v>#REF!</v>
      </c>
      <c r="R116" s="148" t="e">
        <f t="shared" si="41"/>
        <v>#REF!</v>
      </c>
      <c r="S116" s="148" t="e">
        <f t="shared" si="41"/>
        <v>#REF!</v>
      </c>
      <c r="T116" s="148" t="e">
        <f t="shared" si="41"/>
        <v>#REF!</v>
      </c>
      <c r="U116" s="148">
        <f t="shared" si="41"/>
        <v>0</v>
      </c>
      <c r="V116" s="148">
        <f t="shared" si="41"/>
        <v>0</v>
      </c>
      <c r="W116" s="148">
        <f t="shared" si="41"/>
        <v>0</v>
      </c>
      <c r="X116" s="148">
        <f t="shared" si="41"/>
        <v>0</v>
      </c>
    </row>
    <row r="117" spans="1:23" s="56" customFormat="1" ht="22.5">
      <c r="A117" s="143"/>
      <c r="B117" s="155" t="s">
        <v>802</v>
      </c>
      <c r="C117" s="156"/>
      <c r="D117" s="156"/>
      <c r="E117" s="140"/>
      <c r="F117" s="157"/>
      <c r="G117" s="159">
        <f>+G116</f>
        <v>0</v>
      </c>
      <c r="H117" s="158">
        <f>+G117</f>
        <v>0</v>
      </c>
      <c r="I117" s="151">
        <f>+J117</f>
        <v>2500</v>
      </c>
      <c r="J117" s="151">
        <v>2500</v>
      </c>
      <c r="K117" s="159">
        <f>+L117</f>
        <v>600</v>
      </c>
      <c r="L117" s="151">
        <v>600</v>
      </c>
      <c r="M117" s="159" t="e">
        <f>+N117</f>
        <v>#REF!</v>
      </c>
      <c r="N117" s="151" t="e">
        <f>+#REF!</f>
        <v>#REF!</v>
      </c>
      <c r="O117" s="159" t="e">
        <f>+P117</f>
        <v>#REF!</v>
      </c>
      <c r="P117" s="151" t="e">
        <f>+#REF!</f>
        <v>#REF!</v>
      </c>
      <c r="Q117" s="159" t="e">
        <f>+R117</f>
        <v>#REF!</v>
      </c>
      <c r="R117" s="151" t="e">
        <f>+#REF!+#REF!</f>
        <v>#REF!</v>
      </c>
      <c r="S117" s="159" t="e">
        <f>+T117</f>
        <v>#REF!</v>
      </c>
      <c r="T117" s="151" t="e">
        <f>+#REF!+#REF!</f>
        <v>#REF!</v>
      </c>
      <c r="U117" s="159">
        <f>+V117</f>
        <v>0</v>
      </c>
      <c r="V117" s="151"/>
      <c r="W117" s="138"/>
    </row>
    <row r="118" spans="1:23" s="56" customFormat="1" ht="18" customHeight="1">
      <c r="A118" s="143"/>
      <c r="B118" s="155" t="s">
        <v>801</v>
      </c>
      <c r="C118" s="156"/>
      <c r="D118" s="156"/>
      <c r="E118" s="140"/>
      <c r="F118" s="157"/>
      <c r="G118" s="159"/>
      <c r="H118" s="158"/>
      <c r="I118" s="151">
        <f>+J118</f>
        <v>0</v>
      </c>
      <c r="J118" s="151"/>
      <c r="K118" s="159">
        <f>+L118</f>
        <v>1000</v>
      </c>
      <c r="L118" s="151">
        <v>1000</v>
      </c>
      <c r="M118" s="159">
        <f>+N118</f>
        <v>0</v>
      </c>
      <c r="N118" s="151"/>
      <c r="O118" s="159">
        <f>+P118</f>
        <v>0</v>
      </c>
      <c r="P118" s="151"/>
      <c r="Q118" s="159">
        <f>+R118</f>
        <v>0</v>
      </c>
      <c r="R118" s="151"/>
      <c r="S118" s="159">
        <f>+T118</f>
        <v>0</v>
      </c>
      <c r="T118" s="151"/>
      <c r="U118" s="159">
        <f>+V118</f>
        <v>0</v>
      </c>
      <c r="V118" s="151"/>
      <c r="W118" s="141"/>
    </row>
    <row r="119" spans="1:23" s="168" customFormat="1" ht="30" customHeight="1">
      <c r="A119" s="163" t="s">
        <v>496</v>
      </c>
      <c r="B119" s="164" t="s">
        <v>943</v>
      </c>
      <c r="C119" s="165"/>
      <c r="D119" s="165"/>
      <c r="E119" s="165"/>
      <c r="F119" s="165"/>
      <c r="G119" s="166">
        <f>+G120+G130+G134</f>
        <v>166517</v>
      </c>
      <c r="H119" s="166">
        <f aca="true" t="shared" si="42" ref="H119:V119">+H120+H130+H134</f>
        <v>139065.3</v>
      </c>
      <c r="I119" s="166">
        <f t="shared" si="42"/>
        <v>0</v>
      </c>
      <c r="J119" s="166">
        <f t="shared" si="42"/>
        <v>0</v>
      </c>
      <c r="K119" s="166">
        <f t="shared" si="42"/>
        <v>14325</v>
      </c>
      <c r="L119" s="166">
        <f t="shared" si="42"/>
        <v>14325</v>
      </c>
      <c r="M119" s="166" t="e">
        <f t="shared" si="42"/>
        <v>#REF!</v>
      </c>
      <c r="N119" s="166" t="e">
        <f t="shared" si="42"/>
        <v>#REF!</v>
      </c>
      <c r="O119" s="166" t="e">
        <f t="shared" si="42"/>
        <v>#REF!</v>
      </c>
      <c r="P119" s="166" t="e">
        <f t="shared" si="42"/>
        <v>#REF!</v>
      </c>
      <c r="Q119" s="166" t="e">
        <f t="shared" si="42"/>
        <v>#REF!</v>
      </c>
      <c r="R119" s="166" t="e">
        <f t="shared" si="42"/>
        <v>#REF!</v>
      </c>
      <c r="S119" s="166" t="e">
        <f t="shared" si="42"/>
        <v>#REF!</v>
      </c>
      <c r="T119" s="166" t="e">
        <f t="shared" si="42"/>
        <v>#REF!</v>
      </c>
      <c r="U119" s="166" t="e">
        <f t="shared" si="42"/>
        <v>#REF!</v>
      </c>
      <c r="V119" s="166" t="e">
        <f t="shared" si="42"/>
        <v>#REF!</v>
      </c>
      <c r="W119" s="167"/>
    </row>
    <row r="120" spans="1:23" s="56" customFormat="1" ht="18" customHeight="1">
      <c r="A120" s="179" t="s">
        <v>687</v>
      </c>
      <c r="B120" s="180" t="s">
        <v>812</v>
      </c>
      <c r="C120" s="140"/>
      <c r="D120" s="140"/>
      <c r="E120" s="140"/>
      <c r="F120" s="140"/>
      <c r="G120" s="150">
        <f>+G121+G124+G127</f>
        <v>166517</v>
      </c>
      <c r="H120" s="150">
        <f aca="true" t="shared" si="43" ref="H120:V120">+H121+H124+H127</f>
        <v>139065.3</v>
      </c>
      <c r="I120" s="150">
        <f t="shared" si="43"/>
        <v>0</v>
      </c>
      <c r="J120" s="150">
        <f t="shared" si="43"/>
        <v>0</v>
      </c>
      <c r="K120" s="150">
        <f t="shared" si="43"/>
        <v>14325</v>
      </c>
      <c r="L120" s="150">
        <f t="shared" si="43"/>
        <v>14325</v>
      </c>
      <c r="M120" s="150">
        <f t="shared" si="43"/>
        <v>0</v>
      </c>
      <c r="N120" s="150">
        <f t="shared" si="43"/>
        <v>0</v>
      </c>
      <c r="O120" s="150">
        <f t="shared" si="43"/>
        <v>0</v>
      </c>
      <c r="P120" s="150">
        <f t="shared" si="43"/>
        <v>0</v>
      </c>
      <c r="Q120" s="150" t="e">
        <f t="shared" si="43"/>
        <v>#REF!</v>
      </c>
      <c r="R120" s="150" t="e">
        <f t="shared" si="43"/>
        <v>#REF!</v>
      </c>
      <c r="S120" s="150">
        <f t="shared" si="43"/>
        <v>14325</v>
      </c>
      <c r="T120" s="150">
        <f t="shared" si="43"/>
        <v>14325</v>
      </c>
      <c r="U120" s="150" t="e">
        <f t="shared" si="43"/>
        <v>#REF!</v>
      </c>
      <c r="V120" s="150" t="e">
        <f t="shared" si="43"/>
        <v>#REF!</v>
      </c>
      <c r="W120" s="141"/>
    </row>
    <row r="121" spans="1:23" s="593" customFormat="1" ht="45">
      <c r="A121" s="584">
        <v>1</v>
      </c>
      <c r="B121" s="585" t="s">
        <v>775</v>
      </c>
      <c r="C121" s="586" t="s">
        <v>778</v>
      </c>
      <c r="D121" s="587">
        <v>2400</v>
      </c>
      <c r="E121" s="588">
        <v>2014</v>
      </c>
      <c r="F121" s="588" t="s">
        <v>781</v>
      </c>
      <c r="G121" s="589">
        <v>58517</v>
      </c>
      <c r="H121" s="590">
        <f>+G121*0.9</f>
        <v>52665.3</v>
      </c>
      <c r="I121" s="589">
        <f>+I122+I123</f>
        <v>0</v>
      </c>
      <c r="J121" s="589">
        <f>+J122+J123</f>
        <v>0</v>
      </c>
      <c r="K121" s="591">
        <f aca="true" t="shared" si="44" ref="K121:V121">+K122+K123</f>
        <v>13500</v>
      </c>
      <c r="L121" s="591">
        <f t="shared" si="44"/>
        <v>13500</v>
      </c>
      <c r="M121" s="591">
        <f t="shared" si="44"/>
        <v>0</v>
      </c>
      <c r="N121" s="591">
        <f t="shared" si="44"/>
        <v>0</v>
      </c>
      <c r="O121" s="591">
        <f t="shared" si="44"/>
        <v>0</v>
      </c>
      <c r="P121" s="591">
        <f t="shared" si="44"/>
        <v>0</v>
      </c>
      <c r="Q121" s="591" t="e">
        <f t="shared" si="44"/>
        <v>#REF!</v>
      </c>
      <c r="R121" s="591" t="e">
        <f t="shared" si="44"/>
        <v>#REF!</v>
      </c>
      <c r="S121" s="591">
        <f t="shared" si="44"/>
        <v>13500</v>
      </c>
      <c r="T121" s="591">
        <f t="shared" si="44"/>
        <v>13500</v>
      </c>
      <c r="U121" s="591">
        <f t="shared" si="44"/>
        <v>20000</v>
      </c>
      <c r="V121" s="591">
        <f t="shared" si="44"/>
        <v>20000</v>
      </c>
      <c r="W121" s="592"/>
    </row>
    <row r="122" spans="1:23" s="593" customFormat="1" ht="22.5">
      <c r="A122" s="584"/>
      <c r="B122" s="594" t="s">
        <v>802</v>
      </c>
      <c r="C122" s="595"/>
      <c r="D122" s="595"/>
      <c r="E122" s="588"/>
      <c r="F122" s="588"/>
      <c r="G122" s="589"/>
      <c r="H122" s="590"/>
      <c r="I122" s="596">
        <f>+J122</f>
        <v>0</v>
      </c>
      <c r="J122" s="589"/>
      <c r="K122" s="589">
        <f>+L122</f>
        <v>0</v>
      </c>
      <c r="L122" s="589"/>
      <c r="M122" s="589">
        <f>+N122</f>
        <v>0</v>
      </c>
      <c r="N122" s="589"/>
      <c r="O122" s="589">
        <f>+P122</f>
        <v>0</v>
      </c>
      <c r="P122" s="589"/>
      <c r="Q122" s="589">
        <f>+R122</f>
        <v>0</v>
      </c>
      <c r="R122" s="589"/>
      <c r="S122" s="589">
        <f>+T122</f>
        <v>0</v>
      </c>
      <c r="T122" s="589">
        <f>+L122</f>
        <v>0</v>
      </c>
      <c r="U122" s="589">
        <f>+V122</f>
        <v>0</v>
      </c>
      <c r="V122" s="589"/>
      <c r="W122" s="592"/>
    </row>
    <row r="123" spans="1:23" s="593" customFormat="1" ht="15" customHeight="1">
      <c r="A123" s="584"/>
      <c r="B123" s="594" t="s">
        <v>801</v>
      </c>
      <c r="C123" s="595"/>
      <c r="D123" s="595"/>
      <c r="E123" s="588"/>
      <c r="F123" s="588"/>
      <c r="G123" s="589"/>
      <c r="H123" s="590"/>
      <c r="I123" s="596">
        <f>+J123</f>
        <v>0</v>
      </c>
      <c r="J123" s="589"/>
      <c r="K123" s="589">
        <f>+L123</f>
        <v>13500</v>
      </c>
      <c r="L123" s="589">
        <v>13500</v>
      </c>
      <c r="M123" s="589">
        <f>+N123</f>
        <v>0</v>
      </c>
      <c r="N123" s="589"/>
      <c r="O123" s="589">
        <f>+P123</f>
        <v>0</v>
      </c>
      <c r="P123" s="589"/>
      <c r="Q123" s="589" t="e">
        <f>+R123</f>
        <v>#REF!</v>
      </c>
      <c r="R123" s="589" t="e">
        <f>+#REF!</f>
        <v>#REF!</v>
      </c>
      <c r="S123" s="589">
        <f>+T123</f>
        <v>13500</v>
      </c>
      <c r="T123" s="589">
        <f>+L123</f>
        <v>13500</v>
      </c>
      <c r="U123" s="589">
        <f>+V123</f>
        <v>20000</v>
      </c>
      <c r="V123" s="589">
        <v>20000</v>
      </c>
      <c r="W123" s="592"/>
    </row>
    <row r="124" spans="1:23" ht="56.25">
      <c r="A124" s="132">
        <v>2</v>
      </c>
      <c r="B124" s="131" t="s">
        <v>776</v>
      </c>
      <c r="C124" s="215" t="s">
        <v>779</v>
      </c>
      <c r="D124" s="531">
        <v>8000</v>
      </c>
      <c r="E124" s="133">
        <v>2014</v>
      </c>
      <c r="F124" s="128" t="s">
        <v>782</v>
      </c>
      <c r="G124" s="130">
        <v>96000</v>
      </c>
      <c r="H124" s="530">
        <f>+G124*0.9</f>
        <v>86400</v>
      </c>
      <c r="I124" s="148"/>
      <c r="J124" s="148"/>
      <c r="K124" s="178">
        <f aca="true" t="shared" si="45" ref="K124:V124">+K125+K126</f>
        <v>825</v>
      </c>
      <c r="L124" s="178">
        <f t="shared" si="45"/>
        <v>825</v>
      </c>
      <c r="M124" s="178">
        <f t="shared" si="45"/>
        <v>0</v>
      </c>
      <c r="N124" s="178">
        <f t="shared" si="45"/>
        <v>0</v>
      </c>
      <c r="O124" s="178">
        <f t="shared" si="45"/>
        <v>0</v>
      </c>
      <c r="P124" s="178">
        <f t="shared" si="45"/>
        <v>0</v>
      </c>
      <c r="Q124" s="178">
        <f t="shared" si="45"/>
        <v>0</v>
      </c>
      <c r="R124" s="178">
        <f t="shared" si="45"/>
        <v>0</v>
      </c>
      <c r="S124" s="178">
        <f t="shared" si="45"/>
        <v>825</v>
      </c>
      <c r="T124" s="178">
        <f t="shared" si="45"/>
        <v>825</v>
      </c>
      <c r="U124" s="178">
        <f t="shared" si="45"/>
        <v>0</v>
      </c>
      <c r="V124" s="178">
        <f t="shared" si="45"/>
        <v>0</v>
      </c>
      <c r="W124" s="134"/>
    </row>
    <row r="125" spans="1:23" ht="22.5">
      <c r="A125" s="132"/>
      <c r="B125" s="129" t="s">
        <v>802</v>
      </c>
      <c r="C125" s="127"/>
      <c r="D125" s="127"/>
      <c r="E125" s="133"/>
      <c r="F125" s="128"/>
      <c r="G125" s="130"/>
      <c r="H125" s="530"/>
      <c r="I125" s="151">
        <f>+J125</f>
        <v>0</v>
      </c>
      <c r="J125" s="148"/>
      <c r="K125" s="130">
        <f>+L125</f>
        <v>0</v>
      </c>
      <c r="L125" s="148"/>
      <c r="M125" s="130">
        <f>+N125</f>
        <v>0</v>
      </c>
      <c r="N125" s="148"/>
      <c r="O125" s="130">
        <f>+P125</f>
        <v>0</v>
      </c>
      <c r="P125" s="148"/>
      <c r="Q125" s="130">
        <f>+R125</f>
        <v>0</v>
      </c>
      <c r="R125" s="148"/>
      <c r="S125" s="130">
        <f>+T125</f>
        <v>0</v>
      </c>
      <c r="T125" s="148">
        <f>+L125</f>
        <v>0</v>
      </c>
      <c r="U125" s="130">
        <f>+V125</f>
        <v>0</v>
      </c>
      <c r="V125" s="148"/>
      <c r="W125" s="134"/>
    </row>
    <row r="126" spans="1:23" ht="15" customHeight="1">
      <c r="A126" s="132"/>
      <c r="B126" s="129" t="s">
        <v>801</v>
      </c>
      <c r="C126" s="127"/>
      <c r="D126" s="127"/>
      <c r="E126" s="133"/>
      <c r="F126" s="128"/>
      <c r="G126" s="130"/>
      <c r="H126" s="530"/>
      <c r="I126" s="151">
        <f>+J126</f>
        <v>0</v>
      </c>
      <c r="J126" s="148"/>
      <c r="K126" s="130">
        <f>+L126</f>
        <v>825</v>
      </c>
      <c r="L126" s="148">
        <v>825</v>
      </c>
      <c r="M126" s="130">
        <f>+N126</f>
        <v>0</v>
      </c>
      <c r="N126" s="148"/>
      <c r="O126" s="130">
        <f>+P126</f>
        <v>0</v>
      </c>
      <c r="P126" s="148"/>
      <c r="Q126" s="130">
        <f>+R126</f>
        <v>0</v>
      </c>
      <c r="R126" s="148">
        <f>+N126</f>
        <v>0</v>
      </c>
      <c r="S126" s="130">
        <f>+T126</f>
        <v>825</v>
      </c>
      <c r="T126" s="148">
        <f>+L126</f>
        <v>825</v>
      </c>
      <c r="U126" s="130">
        <f>+V126</f>
        <v>0</v>
      </c>
      <c r="V126" s="148">
        <v>0</v>
      </c>
      <c r="W126" s="134"/>
    </row>
    <row r="127" spans="1:23" ht="37.5" customHeight="1">
      <c r="A127" s="132">
        <v>3</v>
      </c>
      <c r="B127" s="523" t="s">
        <v>515</v>
      </c>
      <c r="C127" s="599" t="s">
        <v>778</v>
      </c>
      <c r="D127" s="600">
        <v>1500</v>
      </c>
      <c r="E127" s="133">
        <v>2015</v>
      </c>
      <c r="F127" s="133"/>
      <c r="G127" s="148">
        <v>12000</v>
      </c>
      <c r="H127" s="601"/>
      <c r="I127" s="148"/>
      <c r="J127" s="148"/>
      <c r="K127" s="602"/>
      <c r="L127" s="148"/>
      <c r="M127" s="148"/>
      <c r="N127" s="148"/>
      <c r="O127" s="148"/>
      <c r="P127" s="148"/>
      <c r="Q127" s="148"/>
      <c r="R127" s="148"/>
      <c r="S127" s="148"/>
      <c r="T127" s="148"/>
      <c r="U127" s="178" t="e">
        <f>+U128+U129</f>
        <v>#REF!</v>
      </c>
      <c r="V127" s="178" t="e">
        <f>+V128+V129</f>
        <v>#REF!</v>
      </c>
      <c r="W127" s="134"/>
    </row>
    <row r="128" spans="1:23" ht="22.5" customHeight="1">
      <c r="A128" s="132"/>
      <c r="B128" s="129" t="s">
        <v>802</v>
      </c>
      <c r="C128" s="127"/>
      <c r="D128" s="127"/>
      <c r="E128" s="133"/>
      <c r="F128" s="133"/>
      <c r="G128" s="148"/>
      <c r="H128" s="601"/>
      <c r="I128" s="148"/>
      <c r="J128" s="148"/>
      <c r="K128" s="148">
        <f>+L128</f>
        <v>0</v>
      </c>
      <c r="L128" s="148"/>
      <c r="M128" s="148">
        <f>+N128</f>
        <v>0</v>
      </c>
      <c r="N128" s="148"/>
      <c r="O128" s="148">
        <f>+P128</f>
        <v>0</v>
      </c>
      <c r="P128" s="148"/>
      <c r="Q128" s="148">
        <f>+R128</f>
        <v>0</v>
      </c>
      <c r="R128" s="148"/>
      <c r="S128" s="148">
        <f>+T128</f>
        <v>0</v>
      </c>
      <c r="T128" s="148">
        <f>+L128</f>
        <v>0</v>
      </c>
      <c r="U128" s="148" t="e">
        <f>+V128</f>
        <v>#REF!</v>
      </c>
      <c r="V128" s="148" t="e">
        <f>+#REF!</f>
        <v>#REF!</v>
      </c>
      <c r="W128" s="134"/>
    </row>
    <row r="129" spans="1:23" ht="15" customHeight="1">
      <c r="A129" s="132"/>
      <c r="B129" s="129" t="s">
        <v>801</v>
      </c>
      <c r="C129" s="127"/>
      <c r="D129" s="127"/>
      <c r="E129" s="133"/>
      <c r="F129" s="133"/>
      <c r="G129" s="148"/>
      <c r="H129" s="601"/>
      <c r="I129" s="148"/>
      <c r="J129" s="148"/>
      <c r="K129" s="148">
        <f>+L129</f>
        <v>0</v>
      </c>
      <c r="L129" s="148"/>
      <c r="M129" s="148">
        <f>+N129</f>
        <v>0</v>
      </c>
      <c r="N129" s="148"/>
      <c r="O129" s="148">
        <f>+P129</f>
        <v>0</v>
      </c>
      <c r="P129" s="148"/>
      <c r="Q129" s="148">
        <f>+R129</f>
        <v>0</v>
      </c>
      <c r="R129" s="148"/>
      <c r="S129" s="148">
        <f>+T129</f>
        <v>0</v>
      </c>
      <c r="T129" s="148">
        <f>+L129</f>
        <v>0</v>
      </c>
      <c r="U129" s="148" t="e">
        <f>+V129</f>
        <v>#REF!</v>
      </c>
      <c r="V129" s="148" t="e">
        <f>+#REF!</f>
        <v>#REF!</v>
      </c>
      <c r="W129" s="134"/>
    </row>
    <row r="130" spans="1:23" s="56" customFormat="1" ht="27.75" customHeight="1">
      <c r="A130" s="179" t="s">
        <v>688</v>
      </c>
      <c r="B130" s="180" t="s">
        <v>898</v>
      </c>
      <c r="C130" s="140"/>
      <c r="D130" s="140"/>
      <c r="E130" s="140"/>
      <c r="F130" s="140"/>
      <c r="G130" s="150">
        <f>+G131</f>
        <v>0</v>
      </c>
      <c r="H130" s="150">
        <f aca="true" t="shared" si="46" ref="H130:V130">+H131</f>
        <v>0</v>
      </c>
      <c r="I130" s="150">
        <f t="shared" si="46"/>
        <v>0</v>
      </c>
      <c r="J130" s="150">
        <f t="shared" si="46"/>
        <v>0</v>
      </c>
      <c r="K130" s="150">
        <f t="shared" si="46"/>
        <v>0</v>
      </c>
      <c r="L130" s="150">
        <f t="shared" si="46"/>
        <v>0</v>
      </c>
      <c r="M130" s="150">
        <f t="shared" si="46"/>
        <v>0</v>
      </c>
      <c r="N130" s="150">
        <f t="shared" si="46"/>
        <v>0</v>
      </c>
      <c r="O130" s="150">
        <f t="shared" si="46"/>
        <v>0</v>
      </c>
      <c r="P130" s="150">
        <f t="shared" si="46"/>
        <v>0</v>
      </c>
      <c r="Q130" s="150">
        <f t="shared" si="46"/>
        <v>0</v>
      </c>
      <c r="R130" s="150">
        <f t="shared" si="46"/>
        <v>0</v>
      </c>
      <c r="S130" s="150">
        <f t="shared" si="46"/>
        <v>0</v>
      </c>
      <c r="T130" s="150">
        <f t="shared" si="46"/>
        <v>0</v>
      </c>
      <c r="U130" s="150">
        <f t="shared" si="46"/>
        <v>18000</v>
      </c>
      <c r="V130" s="150">
        <f t="shared" si="46"/>
        <v>18000</v>
      </c>
      <c r="W130" s="141"/>
    </row>
    <row r="131" spans="1:23" ht="56.25">
      <c r="A131" s="132">
        <v>1</v>
      </c>
      <c r="B131" s="144" t="s">
        <v>942</v>
      </c>
      <c r="C131" s="127" t="s">
        <v>766</v>
      </c>
      <c r="D131" s="600"/>
      <c r="E131" s="133">
        <v>2015</v>
      </c>
      <c r="F131" s="133"/>
      <c r="G131" s="178">
        <f aca="true" t="shared" si="47" ref="G131:V131">+G132+G133</f>
        <v>0</v>
      </c>
      <c r="H131" s="178">
        <f t="shared" si="47"/>
        <v>0</v>
      </c>
      <c r="I131" s="178">
        <f t="shared" si="47"/>
        <v>0</v>
      </c>
      <c r="J131" s="178">
        <f t="shared" si="47"/>
        <v>0</v>
      </c>
      <c r="K131" s="178">
        <f t="shared" si="47"/>
        <v>0</v>
      </c>
      <c r="L131" s="178">
        <f t="shared" si="47"/>
        <v>0</v>
      </c>
      <c r="M131" s="178">
        <f t="shared" si="47"/>
        <v>0</v>
      </c>
      <c r="N131" s="178">
        <f t="shared" si="47"/>
        <v>0</v>
      </c>
      <c r="O131" s="178">
        <f t="shared" si="47"/>
        <v>0</v>
      </c>
      <c r="P131" s="178">
        <f t="shared" si="47"/>
        <v>0</v>
      </c>
      <c r="Q131" s="178">
        <f t="shared" si="47"/>
        <v>0</v>
      </c>
      <c r="R131" s="178">
        <f t="shared" si="47"/>
        <v>0</v>
      </c>
      <c r="S131" s="178">
        <f t="shared" si="47"/>
        <v>0</v>
      </c>
      <c r="T131" s="178">
        <f t="shared" si="47"/>
        <v>0</v>
      </c>
      <c r="U131" s="178">
        <f t="shared" si="47"/>
        <v>18000</v>
      </c>
      <c r="V131" s="178">
        <f t="shared" si="47"/>
        <v>18000</v>
      </c>
      <c r="W131" s="134"/>
    </row>
    <row r="132" spans="1:23" ht="22.5" customHeight="1">
      <c r="A132" s="132"/>
      <c r="B132" s="129" t="s">
        <v>802</v>
      </c>
      <c r="C132" s="127"/>
      <c r="D132" s="127"/>
      <c r="E132" s="133"/>
      <c r="F132" s="133"/>
      <c r="G132" s="148"/>
      <c r="H132" s="601"/>
      <c r="I132" s="148"/>
      <c r="J132" s="148"/>
      <c r="K132" s="148">
        <f>+L132</f>
        <v>0</v>
      </c>
      <c r="L132" s="148"/>
      <c r="M132" s="148">
        <f>+N132</f>
        <v>0</v>
      </c>
      <c r="N132" s="148"/>
      <c r="O132" s="148">
        <f>+P132</f>
        <v>0</v>
      </c>
      <c r="P132" s="148"/>
      <c r="Q132" s="148">
        <f>+R132</f>
        <v>0</v>
      </c>
      <c r="R132" s="148"/>
      <c r="S132" s="148">
        <f>+T132</f>
        <v>0</v>
      </c>
      <c r="T132" s="148">
        <f>+L132</f>
        <v>0</v>
      </c>
      <c r="U132" s="148">
        <f>+V132</f>
        <v>10000</v>
      </c>
      <c r="V132" s="148">
        <v>10000</v>
      </c>
      <c r="W132" s="134"/>
    </row>
    <row r="133" spans="1:23" ht="15" customHeight="1">
      <c r="A133" s="132"/>
      <c r="B133" s="129" t="s">
        <v>801</v>
      </c>
      <c r="C133" s="127"/>
      <c r="D133" s="127"/>
      <c r="E133" s="133"/>
      <c r="F133" s="133"/>
      <c r="G133" s="148"/>
      <c r="H133" s="601"/>
      <c r="I133" s="148"/>
      <c r="J133" s="148"/>
      <c r="K133" s="148">
        <f>+L133</f>
        <v>0</v>
      </c>
      <c r="L133" s="148"/>
      <c r="M133" s="148">
        <f>+N133</f>
        <v>0</v>
      </c>
      <c r="N133" s="148"/>
      <c r="O133" s="148">
        <f>+P133</f>
        <v>0</v>
      </c>
      <c r="P133" s="148"/>
      <c r="Q133" s="148">
        <f>+R133</f>
        <v>0</v>
      </c>
      <c r="R133" s="148"/>
      <c r="S133" s="148">
        <f>+T133</f>
        <v>0</v>
      </c>
      <c r="T133" s="148">
        <f>+L133</f>
        <v>0</v>
      </c>
      <c r="U133" s="148">
        <f>+V133</f>
        <v>8000</v>
      </c>
      <c r="V133" s="148">
        <v>8000</v>
      </c>
      <c r="W133" s="134"/>
    </row>
    <row r="134" spans="1:23" s="56" customFormat="1" ht="27.75" customHeight="1">
      <c r="A134" s="179" t="s">
        <v>689</v>
      </c>
      <c r="B134" s="180" t="s">
        <v>517</v>
      </c>
      <c r="C134" s="140"/>
      <c r="D134" s="140"/>
      <c r="E134" s="140"/>
      <c r="F134" s="140"/>
      <c r="G134" s="150">
        <f>+G135</f>
        <v>0</v>
      </c>
      <c r="H134" s="150">
        <f aca="true" t="shared" si="48" ref="H134:V134">+H135</f>
        <v>0</v>
      </c>
      <c r="I134" s="150">
        <f t="shared" si="48"/>
        <v>0</v>
      </c>
      <c r="J134" s="150">
        <f t="shared" si="48"/>
        <v>0</v>
      </c>
      <c r="K134" s="150">
        <f t="shared" si="48"/>
        <v>0</v>
      </c>
      <c r="L134" s="150">
        <f t="shared" si="48"/>
        <v>0</v>
      </c>
      <c r="M134" s="150" t="e">
        <f t="shared" si="48"/>
        <v>#REF!</v>
      </c>
      <c r="N134" s="150" t="e">
        <f t="shared" si="48"/>
        <v>#REF!</v>
      </c>
      <c r="O134" s="150" t="e">
        <f t="shared" si="48"/>
        <v>#REF!</v>
      </c>
      <c r="P134" s="150" t="e">
        <f t="shared" si="48"/>
        <v>#REF!</v>
      </c>
      <c r="Q134" s="150" t="e">
        <f t="shared" si="48"/>
        <v>#REF!</v>
      </c>
      <c r="R134" s="150" t="e">
        <f t="shared" si="48"/>
        <v>#REF!</v>
      </c>
      <c r="S134" s="150" t="e">
        <f t="shared" si="48"/>
        <v>#REF!</v>
      </c>
      <c r="T134" s="150" t="e">
        <f t="shared" si="48"/>
        <v>#REF!</v>
      </c>
      <c r="U134" s="150">
        <f t="shared" si="48"/>
        <v>1500</v>
      </c>
      <c r="V134" s="150">
        <f t="shared" si="48"/>
        <v>1500</v>
      </c>
      <c r="W134" s="141"/>
    </row>
    <row r="135" spans="1:24" ht="28.5" customHeight="1">
      <c r="A135" s="132">
        <v>1</v>
      </c>
      <c r="B135" s="144" t="s">
        <v>507</v>
      </c>
      <c r="C135" s="513"/>
      <c r="D135" s="520"/>
      <c r="E135" s="133">
        <v>2015</v>
      </c>
      <c r="F135" s="520"/>
      <c r="G135" s="529"/>
      <c r="H135" s="139"/>
      <c r="I135" s="148"/>
      <c r="J135" s="148"/>
      <c r="K135" s="250">
        <f aca="true" t="shared" si="49" ref="K135:X135">SUM(K136:K137)</f>
        <v>0</v>
      </c>
      <c r="L135" s="148">
        <f t="shared" si="49"/>
        <v>0</v>
      </c>
      <c r="M135" s="148" t="e">
        <f t="shared" si="49"/>
        <v>#REF!</v>
      </c>
      <c r="N135" s="148" t="e">
        <f t="shared" si="49"/>
        <v>#REF!</v>
      </c>
      <c r="O135" s="148" t="e">
        <f t="shared" si="49"/>
        <v>#REF!</v>
      </c>
      <c r="P135" s="148" t="e">
        <f t="shared" si="49"/>
        <v>#REF!</v>
      </c>
      <c r="Q135" s="148" t="e">
        <f t="shared" si="49"/>
        <v>#REF!</v>
      </c>
      <c r="R135" s="148" t="e">
        <f t="shared" si="49"/>
        <v>#REF!</v>
      </c>
      <c r="S135" s="148" t="e">
        <f t="shared" si="49"/>
        <v>#REF!</v>
      </c>
      <c r="T135" s="148" t="e">
        <f t="shared" si="49"/>
        <v>#REF!</v>
      </c>
      <c r="U135" s="148">
        <f t="shared" si="49"/>
        <v>1500</v>
      </c>
      <c r="V135" s="148">
        <f t="shared" si="49"/>
        <v>1500</v>
      </c>
      <c r="W135" s="148">
        <f t="shared" si="49"/>
        <v>0</v>
      </c>
      <c r="X135" s="148">
        <f t="shared" si="49"/>
        <v>0</v>
      </c>
    </row>
    <row r="136" spans="1:23" s="56" customFormat="1" ht="22.5">
      <c r="A136" s="143"/>
      <c r="B136" s="155" t="s">
        <v>802</v>
      </c>
      <c r="C136" s="156"/>
      <c r="D136" s="156"/>
      <c r="E136" s="140"/>
      <c r="F136" s="157"/>
      <c r="G136" s="159">
        <f>+G135</f>
        <v>0</v>
      </c>
      <c r="H136" s="158">
        <f>+G136</f>
        <v>0</v>
      </c>
      <c r="I136" s="151">
        <f>+J136</f>
        <v>2500</v>
      </c>
      <c r="J136" s="151">
        <v>2500</v>
      </c>
      <c r="K136" s="159">
        <f>+L136</f>
        <v>0</v>
      </c>
      <c r="L136" s="151"/>
      <c r="M136" s="159" t="e">
        <f>+N136</f>
        <v>#REF!</v>
      </c>
      <c r="N136" s="151" t="e">
        <f>+#REF!</f>
        <v>#REF!</v>
      </c>
      <c r="O136" s="159" t="e">
        <f>+P136</f>
        <v>#REF!</v>
      </c>
      <c r="P136" s="151" t="e">
        <f>+#REF!</f>
        <v>#REF!</v>
      </c>
      <c r="Q136" s="159" t="e">
        <f>+R136</f>
        <v>#REF!</v>
      </c>
      <c r="R136" s="151" t="e">
        <f>+#REF!+#REF!</f>
        <v>#REF!</v>
      </c>
      <c r="S136" s="159" t="e">
        <f>+T136</f>
        <v>#REF!</v>
      </c>
      <c r="T136" s="151" t="e">
        <f>+#REF!+#REF!</f>
        <v>#REF!</v>
      </c>
      <c r="U136" s="159">
        <f>+V136</f>
        <v>500</v>
      </c>
      <c r="V136" s="151">
        <v>500</v>
      </c>
      <c r="W136" s="138"/>
    </row>
    <row r="137" spans="1:23" s="56" customFormat="1" ht="18" customHeight="1">
      <c r="A137" s="143"/>
      <c r="B137" s="155" t="s">
        <v>801</v>
      </c>
      <c r="C137" s="156"/>
      <c r="D137" s="156"/>
      <c r="E137" s="140"/>
      <c r="F137" s="157"/>
      <c r="G137" s="159"/>
      <c r="H137" s="158"/>
      <c r="I137" s="151">
        <f>+J137</f>
        <v>0</v>
      </c>
      <c r="J137" s="151"/>
      <c r="K137" s="159">
        <f>+L137</f>
        <v>0</v>
      </c>
      <c r="L137" s="151"/>
      <c r="M137" s="159">
        <f>+N137</f>
        <v>0</v>
      </c>
      <c r="N137" s="151"/>
      <c r="O137" s="159">
        <f>+P137</f>
        <v>0</v>
      </c>
      <c r="P137" s="151"/>
      <c r="Q137" s="159">
        <f>+R137</f>
        <v>0</v>
      </c>
      <c r="R137" s="151"/>
      <c r="S137" s="159">
        <f>+T137</f>
        <v>0</v>
      </c>
      <c r="T137" s="151"/>
      <c r="U137" s="159">
        <f>+V137</f>
        <v>1000</v>
      </c>
      <c r="V137" s="151">
        <v>1000</v>
      </c>
      <c r="W137" s="141"/>
    </row>
    <row r="138" spans="1:23" ht="18" customHeight="1">
      <c r="A138" s="57"/>
      <c r="B138" s="58"/>
      <c r="C138" s="59"/>
      <c r="D138" s="59"/>
      <c r="E138" s="59"/>
      <c r="F138" s="59"/>
      <c r="G138" s="152"/>
      <c r="H138" s="146"/>
      <c r="I138" s="152"/>
      <c r="J138" s="152"/>
      <c r="K138" s="152"/>
      <c r="L138" s="152"/>
      <c r="M138" s="152"/>
      <c r="N138" s="152"/>
      <c r="O138" s="152"/>
      <c r="P138" s="152"/>
      <c r="Q138" s="152"/>
      <c r="R138" s="152"/>
      <c r="S138" s="152"/>
      <c r="T138" s="152"/>
      <c r="U138" s="152"/>
      <c r="V138" s="152"/>
      <c r="W138" s="60"/>
    </row>
    <row r="139" spans="1:23" ht="18" customHeight="1">
      <c r="A139" s="57"/>
      <c r="B139" s="58"/>
      <c r="C139" s="59"/>
      <c r="D139" s="59"/>
      <c r="E139" s="59"/>
      <c r="F139" s="59"/>
      <c r="G139" s="152"/>
      <c r="H139" s="146"/>
      <c r="I139" s="152"/>
      <c r="J139" s="152"/>
      <c r="K139" s="152"/>
      <c r="L139" s="152"/>
      <c r="M139" s="152"/>
      <c r="N139" s="152"/>
      <c r="O139" s="152"/>
      <c r="P139" s="152"/>
      <c r="Q139" s="152"/>
      <c r="R139" s="152"/>
      <c r="S139" s="152"/>
      <c r="T139" s="152"/>
      <c r="U139" s="152"/>
      <c r="V139" s="152"/>
      <c r="W139" s="60"/>
    </row>
    <row r="140" spans="1:23" ht="18" customHeight="1">
      <c r="A140" s="57"/>
      <c r="B140" s="58"/>
      <c r="C140" s="59"/>
      <c r="D140" s="59"/>
      <c r="E140" s="59"/>
      <c r="F140" s="59"/>
      <c r="G140" s="152"/>
      <c r="H140" s="146"/>
      <c r="I140" s="152"/>
      <c r="J140" s="152"/>
      <c r="K140" s="152"/>
      <c r="L140" s="152"/>
      <c r="M140" s="152"/>
      <c r="N140" s="152"/>
      <c r="O140" s="152"/>
      <c r="P140" s="152"/>
      <c r="Q140" s="152"/>
      <c r="R140" s="152"/>
      <c r="S140" s="152"/>
      <c r="T140" s="152"/>
      <c r="U140" s="152"/>
      <c r="V140" s="152"/>
      <c r="W140" s="60"/>
    </row>
    <row r="141" spans="1:23" ht="18" customHeight="1">
      <c r="A141" s="57"/>
      <c r="B141" s="58"/>
      <c r="C141" s="59"/>
      <c r="D141" s="59"/>
      <c r="E141" s="59"/>
      <c r="F141" s="59"/>
      <c r="G141" s="152"/>
      <c r="H141" s="146"/>
      <c r="I141" s="152"/>
      <c r="J141" s="152"/>
      <c r="K141" s="152"/>
      <c r="L141" s="152"/>
      <c r="M141" s="152"/>
      <c r="N141" s="152"/>
      <c r="O141" s="152"/>
      <c r="P141" s="152"/>
      <c r="Q141" s="152"/>
      <c r="R141" s="152"/>
      <c r="S141" s="152"/>
      <c r="T141" s="152"/>
      <c r="U141" s="152"/>
      <c r="V141" s="152"/>
      <c r="W141" s="60"/>
    </row>
    <row r="142" spans="1:23" ht="18" customHeight="1">
      <c r="A142" s="57"/>
      <c r="B142" s="58"/>
      <c r="C142" s="59"/>
      <c r="D142" s="59"/>
      <c r="E142" s="59"/>
      <c r="F142" s="59"/>
      <c r="G142" s="152"/>
      <c r="H142" s="146"/>
      <c r="I142" s="152"/>
      <c r="J142" s="152"/>
      <c r="K142" s="152"/>
      <c r="L142" s="152"/>
      <c r="M142" s="152"/>
      <c r="N142" s="152"/>
      <c r="O142" s="152"/>
      <c r="P142" s="152"/>
      <c r="Q142" s="152"/>
      <c r="R142" s="152"/>
      <c r="S142" s="152"/>
      <c r="T142" s="152"/>
      <c r="U142" s="152"/>
      <c r="V142" s="152"/>
      <c r="W142" s="60"/>
    </row>
    <row r="143" spans="1:23" ht="18" customHeight="1">
      <c r="A143" s="57"/>
      <c r="B143" s="58"/>
      <c r="C143" s="59"/>
      <c r="D143" s="59"/>
      <c r="E143" s="59"/>
      <c r="F143" s="59"/>
      <c r="G143" s="152"/>
      <c r="H143" s="146"/>
      <c r="I143" s="152"/>
      <c r="J143" s="152"/>
      <c r="K143" s="152"/>
      <c r="L143" s="152"/>
      <c r="M143" s="152"/>
      <c r="N143" s="152"/>
      <c r="O143" s="152"/>
      <c r="P143" s="152"/>
      <c r="Q143" s="152"/>
      <c r="R143" s="152"/>
      <c r="S143" s="152"/>
      <c r="T143" s="152"/>
      <c r="U143" s="152"/>
      <c r="V143" s="152"/>
      <c r="W143" s="60"/>
    </row>
    <row r="144" spans="1:23" ht="18" customHeight="1">
      <c r="A144" s="57"/>
      <c r="B144" s="58"/>
      <c r="C144" s="59"/>
      <c r="D144" s="59"/>
      <c r="E144" s="59"/>
      <c r="F144" s="59"/>
      <c r="G144" s="152"/>
      <c r="H144" s="146"/>
      <c r="I144" s="152"/>
      <c r="J144" s="152"/>
      <c r="K144" s="152"/>
      <c r="L144" s="152"/>
      <c r="M144" s="152"/>
      <c r="N144" s="152"/>
      <c r="O144" s="152"/>
      <c r="P144" s="152"/>
      <c r="Q144" s="152"/>
      <c r="R144" s="152"/>
      <c r="S144" s="152"/>
      <c r="T144" s="152"/>
      <c r="U144" s="152"/>
      <c r="V144" s="152"/>
      <c r="W144" s="60"/>
    </row>
    <row r="145" spans="1:23" ht="18" customHeight="1">
      <c r="A145" s="57"/>
      <c r="B145" s="58"/>
      <c r="C145" s="59"/>
      <c r="D145" s="59"/>
      <c r="E145" s="59"/>
      <c r="F145" s="59"/>
      <c r="G145" s="152"/>
      <c r="H145" s="146"/>
      <c r="I145" s="152"/>
      <c r="J145" s="152"/>
      <c r="K145" s="152"/>
      <c r="L145" s="152"/>
      <c r="M145" s="152"/>
      <c r="N145" s="152"/>
      <c r="O145" s="152"/>
      <c r="P145" s="152"/>
      <c r="Q145" s="152"/>
      <c r="R145" s="152"/>
      <c r="S145" s="152"/>
      <c r="T145" s="152"/>
      <c r="U145" s="152"/>
      <c r="V145" s="152"/>
      <c r="W145" s="60"/>
    </row>
    <row r="146" spans="1:23" ht="18" customHeight="1">
      <c r="A146" s="57"/>
      <c r="B146" s="58"/>
      <c r="C146" s="59"/>
      <c r="D146" s="59"/>
      <c r="E146" s="59"/>
      <c r="F146" s="59"/>
      <c r="G146" s="152"/>
      <c r="H146" s="146"/>
      <c r="I146" s="152"/>
      <c r="J146" s="152"/>
      <c r="K146" s="152"/>
      <c r="L146" s="152"/>
      <c r="M146" s="152"/>
      <c r="N146" s="152"/>
      <c r="O146" s="152"/>
      <c r="P146" s="152"/>
      <c r="Q146" s="152"/>
      <c r="R146" s="152"/>
      <c r="S146" s="152"/>
      <c r="T146" s="152"/>
      <c r="U146" s="152"/>
      <c r="V146" s="152"/>
      <c r="W146" s="60"/>
    </row>
    <row r="147" spans="1:23" ht="18" customHeight="1">
      <c r="A147" s="57"/>
      <c r="B147" s="58"/>
      <c r="C147" s="59"/>
      <c r="D147" s="59"/>
      <c r="E147" s="59"/>
      <c r="F147" s="59"/>
      <c r="G147" s="152"/>
      <c r="H147" s="146"/>
      <c r="I147" s="152"/>
      <c r="J147" s="152"/>
      <c r="K147" s="152"/>
      <c r="L147" s="152"/>
      <c r="M147" s="152"/>
      <c r="N147" s="152"/>
      <c r="O147" s="152"/>
      <c r="P147" s="152"/>
      <c r="Q147" s="152"/>
      <c r="R147" s="152"/>
      <c r="S147" s="152"/>
      <c r="T147" s="152"/>
      <c r="U147" s="152"/>
      <c r="V147" s="152"/>
      <c r="W147" s="60"/>
    </row>
    <row r="148" spans="1:23" ht="18" customHeight="1">
      <c r="A148" s="57"/>
      <c r="B148" s="58"/>
      <c r="C148" s="59"/>
      <c r="D148" s="59"/>
      <c r="E148" s="59"/>
      <c r="F148" s="59"/>
      <c r="G148" s="152"/>
      <c r="H148" s="146"/>
      <c r="I148" s="152"/>
      <c r="J148" s="152"/>
      <c r="K148" s="152"/>
      <c r="L148" s="152"/>
      <c r="M148" s="152"/>
      <c r="N148" s="152"/>
      <c r="O148" s="152"/>
      <c r="P148" s="152"/>
      <c r="Q148" s="152"/>
      <c r="R148" s="152"/>
      <c r="S148" s="152"/>
      <c r="T148" s="152"/>
      <c r="U148" s="152"/>
      <c r="V148" s="152"/>
      <c r="W148" s="60"/>
    </row>
    <row r="149" spans="1:23" ht="18" customHeight="1">
      <c r="A149" s="57"/>
      <c r="B149" s="58"/>
      <c r="C149" s="59"/>
      <c r="D149" s="59"/>
      <c r="E149" s="59"/>
      <c r="F149" s="59"/>
      <c r="G149" s="152"/>
      <c r="H149" s="146"/>
      <c r="I149" s="152"/>
      <c r="J149" s="152"/>
      <c r="K149" s="152"/>
      <c r="L149" s="152"/>
      <c r="M149" s="152"/>
      <c r="N149" s="152"/>
      <c r="O149" s="152"/>
      <c r="P149" s="152"/>
      <c r="Q149" s="152"/>
      <c r="R149" s="152"/>
      <c r="S149" s="152"/>
      <c r="T149" s="152"/>
      <c r="U149" s="152"/>
      <c r="V149" s="152"/>
      <c r="W149" s="60"/>
    </row>
    <row r="150" spans="1:23" ht="18" customHeight="1">
      <c r="A150" s="57"/>
      <c r="B150" s="58"/>
      <c r="C150" s="59"/>
      <c r="D150" s="59"/>
      <c r="E150" s="59"/>
      <c r="F150" s="59"/>
      <c r="G150" s="152"/>
      <c r="H150" s="146"/>
      <c r="I150" s="152"/>
      <c r="J150" s="152"/>
      <c r="K150" s="152"/>
      <c r="L150" s="152"/>
      <c r="M150" s="152"/>
      <c r="N150" s="152"/>
      <c r="O150" s="152"/>
      <c r="P150" s="152"/>
      <c r="Q150" s="152"/>
      <c r="R150" s="152"/>
      <c r="S150" s="152"/>
      <c r="T150" s="152"/>
      <c r="U150" s="152"/>
      <c r="V150" s="152"/>
      <c r="W150" s="60"/>
    </row>
    <row r="151" spans="1:23" ht="18" customHeight="1">
      <c r="A151" s="57"/>
      <c r="B151" s="58"/>
      <c r="C151" s="59"/>
      <c r="D151" s="59"/>
      <c r="E151" s="59"/>
      <c r="F151" s="59"/>
      <c r="G151" s="152"/>
      <c r="H151" s="146"/>
      <c r="I151" s="152"/>
      <c r="J151" s="152"/>
      <c r="K151" s="152"/>
      <c r="L151" s="152"/>
      <c r="M151" s="152"/>
      <c r="N151" s="152"/>
      <c r="O151" s="152"/>
      <c r="P151" s="152"/>
      <c r="Q151" s="152"/>
      <c r="R151" s="152"/>
      <c r="S151" s="152"/>
      <c r="T151" s="152"/>
      <c r="U151" s="152"/>
      <c r="V151" s="152"/>
      <c r="W151" s="60"/>
    </row>
    <row r="152" spans="1:23" ht="18" customHeight="1">
      <c r="A152" s="57"/>
      <c r="B152" s="58"/>
      <c r="C152" s="59"/>
      <c r="D152" s="59"/>
      <c r="E152" s="59"/>
      <c r="F152" s="59"/>
      <c r="G152" s="152"/>
      <c r="H152" s="146"/>
      <c r="I152" s="152"/>
      <c r="J152" s="152"/>
      <c r="K152" s="152"/>
      <c r="L152" s="152"/>
      <c r="M152" s="152"/>
      <c r="N152" s="152"/>
      <c r="O152" s="152"/>
      <c r="P152" s="152"/>
      <c r="Q152" s="152"/>
      <c r="R152" s="152"/>
      <c r="S152" s="152"/>
      <c r="T152" s="152"/>
      <c r="U152" s="152"/>
      <c r="V152" s="152"/>
      <c r="W152" s="60"/>
    </row>
    <row r="153" spans="1:23" ht="18" customHeight="1">
      <c r="A153" s="57"/>
      <c r="B153" s="58"/>
      <c r="C153" s="59"/>
      <c r="D153" s="59"/>
      <c r="E153" s="59"/>
      <c r="F153" s="59"/>
      <c r="G153" s="152"/>
      <c r="H153" s="146"/>
      <c r="I153" s="152"/>
      <c r="J153" s="152"/>
      <c r="K153" s="152"/>
      <c r="L153" s="152"/>
      <c r="M153" s="152"/>
      <c r="N153" s="152"/>
      <c r="O153" s="152"/>
      <c r="P153" s="152"/>
      <c r="Q153" s="152"/>
      <c r="R153" s="152"/>
      <c r="S153" s="152"/>
      <c r="T153" s="152"/>
      <c r="U153" s="152"/>
      <c r="V153" s="152"/>
      <c r="W153" s="60"/>
    </row>
    <row r="154" spans="1:23" ht="18" customHeight="1">
      <c r="A154" s="57"/>
      <c r="B154" s="58"/>
      <c r="C154" s="59"/>
      <c r="D154" s="59"/>
      <c r="E154" s="59"/>
      <c r="F154" s="59"/>
      <c r="G154" s="152"/>
      <c r="H154" s="146"/>
      <c r="I154" s="152"/>
      <c r="J154" s="152"/>
      <c r="K154" s="152"/>
      <c r="L154" s="152"/>
      <c r="M154" s="152"/>
      <c r="N154" s="152"/>
      <c r="O154" s="152"/>
      <c r="P154" s="152"/>
      <c r="Q154" s="152"/>
      <c r="R154" s="152"/>
      <c r="S154" s="152"/>
      <c r="T154" s="152"/>
      <c r="U154" s="152"/>
      <c r="V154" s="152"/>
      <c r="W154" s="60"/>
    </row>
    <row r="155" spans="1:23" ht="18" customHeight="1">
      <c r="A155" s="57"/>
      <c r="B155" s="58"/>
      <c r="C155" s="59"/>
      <c r="D155" s="59"/>
      <c r="E155" s="59"/>
      <c r="F155" s="59"/>
      <c r="G155" s="152"/>
      <c r="H155" s="146"/>
      <c r="I155" s="152"/>
      <c r="J155" s="152"/>
      <c r="K155" s="152"/>
      <c r="L155" s="152"/>
      <c r="M155" s="152"/>
      <c r="N155" s="152"/>
      <c r="O155" s="152"/>
      <c r="P155" s="152"/>
      <c r="Q155" s="152"/>
      <c r="R155" s="152"/>
      <c r="S155" s="152"/>
      <c r="T155" s="152"/>
      <c r="U155" s="152"/>
      <c r="V155" s="152"/>
      <c r="W155" s="60"/>
    </row>
    <row r="156" spans="1:23" ht="18" customHeight="1">
      <c r="A156" s="57"/>
      <c r="B156" s="58"/>
      <c r="C156" s="59"/>
      <c r="D156" s="59"/>
      <c r="E156" s="59"/>
      <c r="F156" s="59"/>
      <c r="G156" s="152"/>
      <c r="H156" s="146"/>
      <c r="I156" s="152"/>
      <c r="J156" s="152"/>
      <c r="K156" s="152"/>
      <c r="L156" s="152"/>
      <c r="M156" s="152"/>
      <c r="N156" s="152"/>
      <c r="O156" s="152"/>
      <c r="P156" s="152"/>
      <c r="Q156" s="152"/>
      <c r="R156" s="152"/>
      <c r="S156" s="152"/>
      <c r="T156" s="152"/>
      <c r="U156" s="152"/>
      <c r="V156" s="152"/>
      <c r="W156" s="60"/>
    </row>
    <row r="157" spans="2:23" ht="18" customHeight="1">
      <c r="B157" s="1405" t="s">
        <v>647</v>
      </c>
      <c r="C157" s="1405"/>
      <c r="D157" s="1405"/>
      <c r="E157" s="1405"/>
      <c r="F157" s="1405"/>
      <c r="G157" s="1405"/>
      <c r="H157" s="1405"/>
      <c r="I157" s="1405"/>
      <c r="J157" s="1405"/>
      <c r="K157" s="1405"/>
      <c r="L157" s="1405"/>
      <c r="M157" s="153"/>
      <c r="N157" s="153"/>
      <c r="O157" s="153"/>
      <c r="P157" s="153"/>
      <c r="Q157" s="153"/>
      <c r="R157" s="153"/>
      <c r="S157" s="153"/>
      <c r="T157" s="153"/>
      <c r="U157" s="153"/>
      <c r="V157" s="153"/>
      <c r="W157" s="49"/>
    </row>
    <row r="158" spans="2:23" ht="18" customHeight="1">
      <c r="B158" s="1404" t="s">
        <v>648</v>
      </c>
      <c r="C158" s="1404"/>
      <c r="D158" s="1404"/>
      <c r="E158" s="1404"/>
      <c r="F158" s="1404"/>
      <c r="G158" s="1404"/>
      <c r="H158" s="1404"/>
      <c r="I158" s="1404"/>
      <c r="J158" s="1404"/>
      <c r="K158" s="1404"/>
      <c r="L158" s="1404"/>
      <c r="M158" s="1404"/>
      <c r="N158" s="1404"/>
      <c r="O158" s="1404"/>
      <c r="P158" s="1404"/>
      <c r="Q158" s="1404"/>
      <c r="R158" s="1404"/>
      <c r="S158" s="1404"/>
      <c r="T158" s="1404"/>
      <c r="U158" s="1404"/>
      <c r="V158" s="1404"/>
      <c r="W158" s="1404"/>
    </row>
    <row r="159" spans="2:23" ht="18" customHeight="1">
      <c r="B159" s="1404" t="s">
        <v>669</v>
      </c>
      <c r="C159" s="1404"/>
      <c r="D159" s="1404"/>
      <c r="E159" s="1404"/>
      <c r="F159" s="1404"/>
      <c r="G159" s="1404"/>
      <c r="H159" s="1404"/>
      <c r="I159" s="1404"/>
      <c r="J159" s="1404"/>
      <c r="K159" s="1404"/>
      <c r="L159" s="1404"/>
      <c r="M159" s="1404"/>
      <c r="N159" s="1404"/>
      <c r="O159" s="1404"/>
      <c r="P159" s="1404"/>
      <c r="Q159" s="1404"/>
      <c r="R159" s="1404"/>
      <c r="S159" s="1404"/>
      <c r="T159" s="1404"/>
      <c r="U159" s="1404"/>
      <c r="V159" s="1404"/>
      <c r="W159" s="1404"/>
    </row>
    <row r="160" spans="2:23" ht="18" customHeight="1">
      <c r="B160" s="1404" t="s">
        <v>661</v>
      </c>
      <c r="C160" s="1404"/>
      <c r="D160" s="1404"/>
      <c r="E160" s="1404"/>
      <c r="F160" s="1404"/>
      <c r="G160" s="1404"/>
      <c r="H160" s="1404"/>
      <c r="I160" s="1404"/>
      <c r="J160" s="1404"/>
      <c r="K160" s="1404"/>
      <c r="L160" s="1404"/>
      <c r="M160" s="1404"/>
      <c r="N160" s="1404"/>
      <c r="O160" s="1404"/>
      <c r="P160" s="1404"/>
      <c r="Q160" s="1404"/>
      <c r="R160" s="1404"/>
      <c r="S160" s="1404"/>
      <c r="T160" s="1404"/>
      <c r="U160" s="1404"/>
      <c r="V160" s="1404"/>
      <c r="W160" s="1404"/>
    </row>
    <row r="161" spans="2:23" ht="18" customHeight="1">
      <c r="B161" s="1404" t="s">
        <v>662</v>
      </c>
      <c r="C161" s="1404"/>
      <c r="D161" s="1404"/>
      <c r="E161" s="1404"/>
      <c r="F161" s="1404"/>
      <c r="G161" s="1404"/>
      <c r="H161" s="1404"/>
      <c r="I161" s="1404"/>
      <c r="J161" s="1404"/>
      <c r="K161" s="1404"/>
      <c r="L161" s="1404"/>
      <c r="M161" s="1404"/>
      <c r="N161" s="1404"/>
      <c r="O161" s="1404"/>
      <c r="P161" s="1404"/>
      <c r="Q161" s="1404"/>
      <c r="R161" s="1404"/>
      <c r="S161" s="1404"/>
      <c r="T161" s="1404"/>
      <c r="U161" s="1404"/>
      <c r="V161" s="1404"/>
      <c r="W161" s="1404"/>
    </row>
    <row r="162" spans="2:23" ht="18" customHeight="1">
      <c r="B162" s="1404" t="s">
        <v>663</v>
      </c>
      <c r="C162" s="1404"/>
      <c r="D162" s="1404"/>
      <c r="E162" s="1404"/>
      <c r="F162" s="1404"/>
      <c r="G162" s="1404"/>
      <c r="H162" s="1404"/>
      <c r="I162" s="1404"/>
      <c r="J162" s="1404"/>
      <c r="K162" s="1404"/>
      <c r="L162" s="1404"/>
      <c r="M162" s="1404"/>
      <c r="N162" s="1404"/>
      <c r="O162" s="1404"/>
      <c r="P162" s="1404"/>
      <c r="Q162" s="1404"/>
      <c r="R162" s="1404"/>
      <c r="S162" s="1404"/>
      <c r="T162" s="1404"/>
      <c r="U162" s="1404"/>
      <c r="V162" s="1404"/>
      <c r="W162" s="1404"/>
    </row>
    <row r="163" spans="2:23" ht="18" customHeight="1">
      <c r="B163" s="1404" t="s">
        <v>664</v>
      </c>
      <c r="C163" s="1404"/>
      <c r="D163" s="1404"/>
      <c r="E163" s="1404"/>
      <c r="F163" s="1404"/>
      <c r="G163" s="1404"/>
      <c r="H163" s="1404"/>
      <c r="I163" s="1404"/>
      <c r="J163" s="1404"/>
      <c r="K163" s="1404"/>
      <c r="L163" s="1404"/>
      <c r="M163" s="1404"/>
      <c r="N163" s="1404"/>
      <c r="O163" s="1404"/>
      <c r="P163" s="1404"/>
      <c r="Q163" s="1404"/>
      <c r="R163" s="1404"/>
      <c r="S163" s="1404"/>
      <c r="T163" s="1404"/>
      <c r="U163" s="1404"/>
      <c r="V163" s="1404"/>
      <c r="W163" s="1404"/>
    </row>
    <row r="164" spans="2:23" ht="18" customHeight="1">
      <c r="B164" s="1404" t="s">
        <v>665</v>
      </c>
      <c r="C164" s="1404"/>
      <c r="D164" s="1404"/>
      <c r="E164" s="1404"/>
      <c r="F164" s="1404"/>
      <c r="G164" s="1404"/>
      <c r="H164" s="1404"/>
      <c r="I164" s="1404"/>
      <c r="J164" s="1404"/>
      <c r="K164" s="1404"/>
      <c r="L164" s="1404"/>
      <c r="M164" s="1404"/>
      <c r="N164" s="1404"/>
      <c r="O164" s="1404"/>
      <c r="P164" s="1404"/>
      <c r="Q164" s="1404"/>
      <c r="R164" s="1404"/>
      <c r="S164" s="1404"/>
      <c r="T164" s="1404"/>
      <c r="U164" s="1404"/>
      <c r="V164" s="1404"/>
      <c r="W164" s="1404"/>
    </row>
    <row r="165" spans="2:23" ht="18" customHeight="1">
      <c r="B165" s="1404" t="s">
        <v>666</v>
      </c>
      <c r="C165" s="1404"/>
      <c r="D165" s="1404"/>
      <c r="E165" s="1404"/>
      <c r="F165" s="1404"/>
      <c r="G165" s="1404"/>
      <c r="H165" s="1404"/>
      <c r="I165" s="1404"/>
      <c r="J165" s="1404"/>
      <c r="K165" s="1404"/>
      <c r="L165" s="1404"/>
      <c r="M165" s="1404"/>
      <c r="N165" s="1404"/>
      <c r="O165" s="1404"/>
      <c r="P165" s="1404"/>
      <c r="Q165" s="1404"/>
      <c r="R165" s="1404"/>
      <c r="S165" s="1404"/>
      <c r="T165" s="1404"/>
      <c r="U165" s="1404"/>
      <c r="V165" s="1404"/>
      <c r="W165" s="1404"/>
    </row>
    <row r="166" spans="2:23" ht="18" customHeight="1">
      <c r="B166" s="1404" t="s">
        <v>699</v>
      </c>
      <c r="C166" s="1404"/>
      <c r="D166" s="1404"/>
      <c r="E166" s="1404"/>
      <c r="F166" s="1404"/>
      <c r="G166" s="1404"/>
      <c r="H166" s="1404"/>
      <c r="I166" s="1404"/>
      <c r="J166" s="1404"/>
      <c r="K166" s="1404"/>
      <c r="L166" s="1404"/>
      <c r="M166" s="1404"/>
      <c r="N166" s="1404"/>
      <c r="O166" s="1404"/>
      <c r="P166" s="1404"/>
      <c r="Q166" s="1404"/>
      <c r="R166" s="1404"/>
      <c r="S166" s="1404"/>
      <c r="T166" s="1404"/>
      <c r="U166" s="1404"/>
      <c r="V166" s="1404"/>
      <c r="W166" s="1404"/>
    </row>
    <row r="167" spans="2:23" ht="18" customHeight="1">
      <c r="B167" s="1404" t="s">
        <v>700</v>
      </c>
      <c r="C167" s="1404"/>
      <c r="D167" s="1404"/>
      <c r="E167" s="1404"/>
      <c r="F167" s="1404"/>
      <c r="G167" s="1404"/>
      <c r="H167" s="1404"/>
      <c r="I167" s="1404"/>
      <c r="J167" s="1404"/>
      <c r="K167" s="1404"/>
      <c r="L167" s="1404"/>
      <c r="M167" s="1404"/>
      <c r="N167" s="1404"/>
      <c r="O167" s="1404"/>
      <c r="P167" s="1404"/>
      <c r="Q167" s="1404"/>
      <c r="R167" s="1404"/>
      <c r="S167" s="1404"/>
      <c r="T167" s="1404"/>
      <c r="U167" s="1404"/>
      <c r="V167" s="1404"/>
      <c r="W167" s="1404"/>
    </row>
    <row r="168" spans="2:23" ht="18" customHeight="1">
      <c r="B168" s="1404" t="s">
        <v>701</v>
      </c>
      <c r="C168" s="1404"/>
      <c r="D168" s="1404"/>
      <c r="E168" s="1404"/>
      <c r="F168" s="1404"/>
      <c r="G168" s="1404"/>
      <c r="H168" s="1404"/>
      <c r="I168" s="1404"/>
      <c r="J168" s="1404"/>
      <c r="K168" s="1404"/>
      <c r="L168" s="1404"/>
      <c r="M168" s="1404"/>
      <c r="N168" s="1404"/>
      <c r="O168" s="1404"/>
      <c r="P168" s="1404"/>
      <c r="Q168" s="1404"/>
      <c r="R168" s="1404"/>
      <c r="S168" s="1404"/>
      <c r="T168" s="1404"/>
      <c r="U168" s="1404"/>
      <c r="V168" s="1404"/>
      <c r="W168" s="1404"/>
    </row>
    <row r="169" spans="2:23" ht="18" customHeight="1">
      <c r="B169" s="1404" t="s">
        <v>702</v>
      </c>
      <c r="C169" s="1404"/>
      <c r="D169" s="1404"/>
      <c r="E169" s="1404"/>
      <c r="F169" s="1404"/>
      <c r="G169" s="1404"/>
      <c r="H169" s="1404"/>
      <c r="I169" s="1404"/>
      <c r="J169" s="1404"/>
      <c r="K169" s="1404"/>
      <c r="L169" s="1404"/>
      <c r="M169" s="1404"/>
      <c r="N169" s="1404"/>
      <c r="O169" s="1404"/>
      <c r="P169" s="1404"/>
      <c r="Q169" s="1404"/>
      <c r="R169" s="1404"/>
      <c r="S169" s="1404"/>
      <c r="T169" s="1404"/>
      <c r="U169" s="1404"/>
      <c r="V169" s="1404"/>
      <c r="W169" s="1404"/>
    </row>
    <row r="170" spans="2:23" ht="18" customHeight="1">
      <c r="B170" s="1404" t="s">
        <v>703</v>
      </c>
      <c r="C170" s="1404"/>
      <c r="D170" s="1404"/>
      <c r="E170" s="1404"/>
      <c r="F170" s="1404"/>
      <c r="G170" s="1404"/>
      <c r="H170" s="1404"/>
      <c r="I170" s="1404"/>
      <c r="J170" s="1404"/>
      <c r="K170" s="1404"/>
      <c r="L170" s="1404"/>
      <c r="M170" s="1404"/>
      <c r="N170" s="1404"/>
      <c r="O170" s="1404"/>
      <c r="P170" s="1404"/>
      <c r="Q170" s="1404"/>
      <c r="R170" s="1404"/>
      <c r="S170" s="1404"/>
      <c r="T170" s="1404"/>
      <c r="U170" s="1404"/>
      <c r="V170" s="1404"/>
      <c r="W170" s="1404"/>
    </row>
    <row r="171" spans="2:23" ht="18" customHeight="1">
      <c r="B171" s="1404" t="s">
        <v>704</v>
      </c>
      <c r="C171" s="1404"/>
      <c r="D171" s="1404"/>
      <c r="E171" s="1404"/>
      <c r="F171" s="1404"/>
      <c r="G171" s="1404"/>
      <c r="H171" s="1404"/>
      <c r="I171" s="1404"/>
      <c r="J171" s="1404"/>
      <c r="K171" s="1404"/>
      <c r="L171" s="1404"/>
      <c r="M171" s="1404"/>
      <c r="N171" s="1404"/>
      <c r="O171" s="1404"/>
      <c r="P171" s="1404"/>
      <c r="Q171" s="1404"/>
      <c r="R171" s="1404"/>
      <c r="S171" s="1404"/>
      <c r="T171" s="1404"/>
      <c r="U171" s="1404"/>
      <c r="V171" s="1404"/>
      <c r="W171" s="1404"/>
    </row>
    <row r="172" spans="2:23" ht="18" customHeight="1">
      <c r="B172" s="1404" t="s">
        <v>705</v>
      </c>
      <c r="C172" s="1404"/>
      <c r="D172" s="1404"/>
      <c r="E172" s="1404"/>
      <c r="F172" s="1404"/>
      <c r="G172" s="1404"/>
      <c r="H172" s="1404"/>
      <c r="I172" s="1404"/>
      <c r="J172" s="1404"/>
      <c r="K172" s="1404"/>
      <c r="L172" s="1404"/>
      <c r="M172" s="1404"/>
      <c r="N172" s="1404"/>
      <c r="O172" s="1404"/>
      <c r="P172" s="1404"/>
      <c r="Q172" s="1404"/>
      <c r="R172" s="1404"/>
      <c r="S172" s="1404"/>
      <c r="T172" s="1404"/>
      <c r="U172" s="1404"/>
      <c r="V172" s="1404"/>
      <c r="W172" s="1404"/>
    </row>
    <row r="173" spans="2:23" ht="18" customHeight="1">
      <c r="B173" s="1404" t="s">
        <v>706</v>
      </c>
      <c r="C173" s="1404"/>
      <c r="D173" s="1404"/>
      <c r="E173" s="1404"/>
      <c r="F173" s="1404"/>
      <c r="G173" s="1404"/>
      <c r="H173" s="1404"/>
      <c r="I173" s="1404"/>
      <c r="J173" s="1404"/>
      <c r="K173" s="1404"/>
      <c r="L173" s="1404"/>
      <c r="M173" s="1404"/>
      <c r="N173" s="1404"/>
      <c r="O173" s="1404"/>
      <c r="P173" s="1404"/>
      <c r="Q173" s="1404"/>
      <c r="R173" s="1404"/>
      <c r="S173" s="1404"/>
      <c r="T173" s="1404"/>
      <c r="U173" s="1404"/>
      <c r="V173" s="1404"/>
      <c r="W173" s="1404"/>
    </row>
    <row r="174" spans="2:23" ht="18" customHeight="1">
      <c r="B174" s="1404" t="s">
        <v>707</v>
      </c>
      <c r="C174" s="1404"/>
      <c r="D174" s="1404"/>
      <c r="E174" s="1404"/>
      <c r="F174" s="1404"/>
      <c r="G174" s="1404"/>
      <c r="H174" s="1404"/>
      <c r="I174" s="1404"/>
      <c r="J174" s="1404"/>
      <c r="K174" s="1404"/>
      <c r="L174" s="1404"/>
      <c r="M174" s="1404"/>
      <c r="N174" s="1404"/>
      <c r="O174" s="1404"/>
      <c r="P174" s="1404"/>
      <c r="Q174" s="1404"/>
      <c r="R174" s="1404"/>
      <c r="S174" s="1404"/>
      <c r="T174" s="1404"/>
      <c r="U174" s="1404"/>
      <c r="V174" s="1404"/>
      <c r="W174" s="1404"/>
    </row>
    <row r="175" spans="2:23" ht="18" customHeight="1">
      <c r="B175" s="1404" t="s">
        <v>708</v>
      </c>
      <c r="C175" s="1404"/>
      <c r="D175" s="1404"/>
      <c r="E175" s="1404"/>
      <c r="F175" s="1404"/>
      <c r="G175" s="1404"/>
      <c r="H175" s="1404"/>
      <c r="I175" s="1404"/>
      <c r="J175" s="1404"/>
      <c r="K175" s="1404"/>
      <c r="L175" s="1404"/>
      <c r="M175" s="1404"/>
      <c r="N175" s="1404"/>
      <c r="O175" s="1404"/>
      <c r="P175" s="1404"/>
      <c r="Q175" s="1404"/>
      <c r="R175" s="1404"/>
      <c r="S175" s="1404"/>
      <c r="T175" s="1404"/>
      <c r="U175" s="1404"/>
      <c r="V175" s="1404"/>
      <c r="W175" s="1404"/>
    </row>
    <row r="176" spans="2:23" ht="18" customHeight="1">
      <c r="B176" s="1404" t="s">
        <v>709</v>
      </c>
      <c r="C176" s="1404"/>
      <c r="D176" s="1404"/>
      <c r="E176" s="1404"/>
      <c r="F176" s="1404"/>
      <c r="G176" s="1404"/>
      <c r="H176" s="1404"/>
      <c r="I176" s="1404"/>
      <c r="J176" s="1404"/>
      <c r="K176" s="1404"/>
      <c r="L176" s="1404"/>
      <c r="M176" s="1404"/>
      <c r="N176" s="1404"/>
      <c r="O176" s="1404"/>
      <c r="P176" s="1404"/>
      <c r="Q176" s="1404"/>
      <c r="R176" s="1404"/>
      <c r="S176" s="1404"/>
      <c r="T176" s="1404"/>
      <c r="U176" s="1404"/>
      <c r="V176" s="1404"/>
      <c r="W176" s="1404"/>
    </row>
    <row r="177" spans="2:23" ht="18" customHeight="1">
      <c r="B177" s="1404" t="s">
        <v>710</v>
      </c>
      <c r="C177" s="1404"/>
      <c r="D177" s="1404"/>
      <c r="E177" s="1404"/>
      <c r="F177" s="1404"/>
      <c r="G177" s="1404"/>
      <c r="H177" s="1404"/>
      <c r="I177" s="1404"/>
      <c r="J177" s="1404"/>
      <c r="K177" s="1404"/>
      <c r="L177" s="1404"/>
      <c r="M177" s="1404"/>
      <c r="N177" s="1404"/>
      <c r="O177" s="1404"/>
      <c r="P177" s="1404"/>
      <c r="Q177" s="1404"/>
      <c r="R177" s="1404"/>
      <c r="S177" s="1404"/>
      <c r="T177" s="1404"/>
      <c r="U177" s="1404"/>
      <c r="V177" s="1404"/>
      <c r="W177" s="1404"/>
    </row>
    <row r="178" spans="2:23" ht="18" customHeight="1">
      <c r="B178" s="1404"/>
      <c r="C178" s="1404"/>
      <c r="D178" s="1404"/>
      <c r="E178" s="1404"/>
      <c r="F178" s="1404"/>
      <c r="G178" s="1404"/>
      <c r="H178" s="1404"/>
      <c r="I178" s="1404"/>
      <c r="J178" s="1404"/>
      <c r="K178" s="1404"/>
      <c r="L178" s="1404"/>
      <c r="M178" s="1404"/>
      <c r="N178" s="1404"/>
      <c r="O178" s="1404"/>
      <c r="P178" s="1404"/>
      <c r="Q178" s="1404"/>
      <c r="R178" s="1404"/>
      <c r="S178" s="1404"/>
      <c r="T178" s="1404"/>
      <c r="U178" s="1404"/>
      <c r="V178" s="1404"/>
      <c r="W178" s="1404"/>
    </row>
    <row r="179" spans="2:23" ht="18" customHeight="1">
      <c r="B179" s="1404"/>
      <c r="C179" s="1404"/>
      <c r="D179" s="1404"/>
      <c r="E179" s="1404"/>
      <c r="F179" s="1404"/>
      <c r="G179" s="1404"/>
      <c r="H179" s="1404"/>
      <c r="I179" s="1404"/>
      <c r="J179" s="1404"/>
      <c r="K179" s="1404"/>
      <c r="L179" s="1404"/>
      <c r="M179" s="1404"/>
      <c r="N179" s="1404"/>
      <c r="O179" s="1404"/>
      <c r="P179" s="1404"/>
      <c r="Q179" s="1404"/>
      <c r="R179" s="1404"/>
      <c r="S179" s="1404"/>
      <c r="T179" s="1404"/>
      <c r="U179" s="1404"/>
      <c r="V179" s="1404"/>
      <c r="W179" s="1404"/>
    </row>
  </sheetData>
  <sheetProtection/>
  <mergeCells count="58">
    <mergeCell ref="B172:W172"/>
    <mergeCell ref="B173:W173"/>
    <mergeCell ref="B170:W170"/>
    <mergeCell ref="B178:W178"/>
    <mergeCell ref="B179:W179"/>
    <mergeCell ref="B176:W176"/>
    <mergeCell ref="B177:W177"/>
    <mergeCell ref="B174:W174"/>
    <mergeCell ref="B175:W175"/>
    <mergeCell ref="B171:W171"/>
    <mergeCell ref="B169:W169"/>
    <mergeCell ref="B166:W166"/>
    <mergeCell ref="B167:W167"/>
    <mergeCell ref="B168:W168"/>
    <mergeCell ref="B162:W162"/>
    <mergeCell ref="B163:W163"/>
    <mergeCell ref="B164:W164"/>
    <mergeCell ref="B165:W165"/>
    <mergeCell ref="B161:W161"/>
    <mergeCell ref="B157:L157"/>
    <mergeCell ref="R5:R7"/>
    <mergeCell ref="S5:S7"/>
    <mergeCell ref="T5:T7"/>
    <mergeCell ref="M5:M7"/>
    <mergeCell ref="N5:N7"/>
    <mergeCell ref="H6:H7"/>
    <mergeCell ref="I5:I7"/>
    <mergeCell ref="J5:J7"/>
    <mergeCell ref="B158:W158"/>
    <mergeCell ref="B159:W159"/>
    <mergeCell ref="B160:W160"/>
    <mergeCell ref="V5:V7"/>
    <mergeCell ref="U5:U7"/>
    <mergeCell ref="O4:P4"/>
    <mergeCell ref="O5:O7"/>
    <mergeCell ref="P5:P7"/>
    <mergeCell ref="F5:F7"/>
    <mergeCell ref="G5:H5"/>
    <mergeCell ref="L5:L7"/>
    <mergeCell ref="G6:G7"/>
    <mergeCell ref="A1:W1"/>
    <mergeCell ref="A3:W3"/>
    <mergeCell ref="A4:A7"/>
    <mergeCell ref="B4:B7"/>
    <mergeCell ref="C4:C7"/>
    <mergeCell ref="D4:D7"/>
    <mergeCell ref="E4:E7"/>
    <mergeCell ref="A2:W2"/>
    <mergeCell ref="U4:V4"/>
    <mergeCell ref="W4:W7"/>
    <mergeCell ref="Q5:Q7"/>
    <mergeCell ref="F4:H4"/>
    <mergeCell ref="K4:L4"/>
    <mergeCell ref="M4:N4"/>
    <mergeCell ref="I4:J4"/>
    <mergeCell ref="Q4:R4"/>
    <mergeCell ref="S4:T4"/>
    <mergeCell ref="K5:K7"/>
  </mergeCells>
  <printOptions horizontalCentered="1"/>
  <pageMargins left="0.1968503937007874" right="0.1968503937007874" top="0.3937007874015748" bottom="0.3937007874015748" header="0.1968503937007874" footer="0.1968503937007874"/>
  <pageSetup firstPageNumber="3" useFirstPageNumber="1" horizontalDpi="600" verticalDpi="600" orientation="landscape" paperSize="9" scale="91" r:id="rId3"/>
  <headerFooter alignWithMargins="0">
    <oddFooter>&amp;C&amp;P</oddFooter>
  </headerFooter>
  <rowBreaks count="1" manualBreakCount="1">
    <brk id="156" max="22" man="1"/>
  </rowBreaks>
  <legacyDrawing r:id="rId2"/>
</worksheet>
</file>

<file path=xl/worksheets/sheet8.xml><?xml version="1.0" encoding="utf-8"?>
<worksheet xmlns="http://schemas.openxmlformats.org/spreadsheetml/2006/main" xmlns:r="http://schemas.openxmlformats.org/officeDocument/2006/relationships">
  <sheetPr>
    <tabColor indexed="42"/>
  </sheetPr>
  <dimension ref="A1:S21"/>
  <sheetViews>
    <sheetView showZeros="0" zoomScalePageLayoutView="0" workbookViewId="0" topLeftCell="A4">
      <selection activeCell="M14" sqref="M14"/>
    </sheetView>
  </sheetViews>
  <sheetFormatPr defaultColWidth="8.796875" defaultRowHeight="15"/>
  <cols>
    <col min="1" max="1" width="4.19921875" style="231" customWidth="1"/>
    <col min="2" max="2" width="17.59765625" style="231" customWidth="1"/>
    <col min="3" max="4" width="9.19921875" style="231" bestFit="1" customWidth="1"/>
    <col min="5" max="5" width="7.19921875" style="231" bestFit="1" customWidth="1"/>
    <col min="6" max="6" width="9" style="231" bestFit="1" customWidth="1"/>
    <col min="7" max="7" width="6.59765625" style="231" customWidth="1"/>
    <col min="8" max="8" width="8.69921875" style="231" customWidth="1"/>
    <col min="9" max="9" width="8.09765625" style="231" bestFit="1" customWidth="1"/>
    <col min="10" max="10" width="7.3984375" style="231" bestFit="1" customWidth="1"/>
    <col min="11" max="11" width="8.19921875" style="231" bestFit="1" customWidth="1"/>
    <col min="12" max="12" width="7.3984375" style="231" bestFit="1" customWidth="1"/>
    <col min="13" max="13" width="9.19921875" style="231" bestFit="1" customWidth="1"/>
    <col min="14" max="14" width="7.3984375" style="231" bestFit="1" customWidth="1"/>
    <col min="15" max="15" width="8.59765625" style="231" bestFit="1" customWidth="1"/>
    <col min="16" max="16" width="8.09765625" style="231" bestFit="1" customWidth="1"/>
    <col min="17" max="17" width="5.3984375" style="231" bestFit="1" customWidth="1"/>
    <col min="18" max="19" width="4.59765625" style="231" customWidth="1"/>
    <col min="20" max="16384" width="9" style="231" customWidth="1"/>
  </cols>
  <sheetData>
    <row r="1" spans="1:19" ht="15.75">
      <c r="A1" s="1409" t="s">
        <v>1143</v>
      </c>
      <c r="B1" s="1409"/>
      <c r="C1" s="1409"/>
      <c r="D1" s="1409"/>
      <c r="E1" s="1409"/>
      <c r="F1" s="1409"/>
      <c r="G1" s="1409"/>
      <c r="H1" s="1409"/>
      <c r="I1" s="1409"/>
      <c r="J1" s="1409"/>
      <c r="K1" s="1409"/>
      <c r="L1" s="1409"/>
      <c r="M1" s="1409"/>
      <c r="N1" s="1409"/>
      <c r="O1" s="1409"/>
      <c r="P1" s="1409"/>
      <c r="Q1" s="1409"/>
      <c r="R1" s="1409"/>
      <c r="S1" s="1409"/>
    </row>
    <row r="2" spans="1:19" ht="15.75">
      <c r="A2" s="1408" t="str">
        <f>+'Bieu 1-cu'!A2:G2</f>
        <v>(Kèm theo Kế hoạch số:         /KH/SNN-CCTL, ngày         / 7 /2014 của Sở Nông nghiệp và PTNT Phú Thọ)</v>
      </c>
      <c r="B2" s="1408"/>
      <c r="C2" s="1408"/>
      <c r="D2" s="1408"/>
      <c r="E2" s="1408"/>
      <c r="F2" s="1408"/>
      <c r="G2" s="1408"/>
      <c r="H2" s="1408"/>
      <c r="I2" s="1408"/>
      <c r="J2" s="1408"/>
      <c r="K2" s="1408"/>
      <c r="L2" s="1408"/>
      <c r="M2" s="1408"/>
      <c r="N2" s="1408"/>
      <c r="O2" s="1408"/>
      <c r="P2" s="1408"/>
      <c r="Q2" s="1408"/>
      <c r="R2" s="1408"/>
      <c r="S2" s="1408"/>
    </row>
    <row r="3" ht="18" customHeight="1"/>
    <row r="4" spans="1:19" ht="36.75" customHeight="1">
      <c r="A4" s="1420" t="s">
        <v>488</v>
      </c>
      <c r="B4" s="1420" t="s">
        <v>729</v>
      </c>
      <c r="C4" s="1424" t="s">
        <v>730</v>
      </c>
      <c r="D4" s="1424" t="s">
        <v>727</v>
      </c>
      <c r="E4" s="1412" t="s">
        <v>731</v>
      </c>
      <c r="F4" s="1413"/>
      <c r="G4" s="1413"/>
      <c r="H4" s="1413"/>
      <c r="I4" s="1413"/>
      <c r="J4" s="1413"/>
      <c r="K4" s="1413"/>
      <c r="L4" s="1413"/>
      <c r="M4" s="103"/>
      <c r="N4" s="103"/>
      <c r="O4" s="1414" t="s">
        <v>732</v>
      </c>
      <c r="P4" s="1415"/>
      <c r="Q4" s="1416"/>
      <c r="R4" s="1420" t="s">
        <v>733</v>
      </c>
      <c r="S4" s="1420"/>
    </row>
    <row r="5" spans="1:19" ht="45" customHeight="1">
      <c r="A5" s="1420"/>
      <c r="B5" s="1420"/>
      <c r="C5" s="1425"/>
      <c r="D5" s="1425"/>
      <c r="E5" s="1421" t="s">
        <v>749</v>
      </c>
      <c r="F5" s="1422"/>
      <c r="G5" s="1422"/>
      <c r="H5" s="1423"/>
      <c r="I5" s="1421" t="s">
        <v>734</v>
      </c>
      <c r="J5" s="1423"/>
      <c r="K5" s="1421" t="s">
        <v>750</v>
      </c>
      <c r="L5" s="1423"/>
      <c r="M5" s="1421" t="s">
        <v>751</v>
      </c>
      <c r="N5" s="1422"/>
      <c r="O5" s="1417"/>
      <c r="P5" s="1418"/>
      <c r="Q5" s="1419"/>
      <c r="R5" s="1420"/>
      <c r="S5" s="1420"/>
    </row>
    <row r="6" spans="1:19" ht="38.25">
      <c r="A6" s="1420"/>
      <c r="B6" s="1420"/>
      <c r="C6" s="1426"/>
      <c r="D6" s="1426"/>
      <c r="E6" s="102" t="s">
        <v>735</v>
      </c>
      <c r="F6" s="102" t="s">
        <v>736</v>
      </c>
      <c r="G6" s="102" t="s">
        <v>737</v>
      </c>
      <c r="H6" s="102" t="s">
        <v>738</v>
      </c>
      <c r="I6" s="102" t="s">
        <v>728</v>
      </c>
      <c r="J6" s="102" t="s">
        <v>494</v>
      </c>
      <c r="K6" s="102" t="s">
        <v>728</v>
      </c>
      <c r="L6" s="102" t="s">
        <v>494</v>
      </c>
      <c r="M6" s="102" t="s">
        <v>728</v>
      </c>
      <c r="N6" s="102" t="s">
        <v>494</v>
      </c>
      <c r="O6" s="104" t="s">
        <v>739</v>
      </c>
      <c r="P6" s="105" t="s">
        <v>740</v>
      </c>
      <c r="Q6" s="102" t="s">
        <v>741</v>
      </c>
      <c r="R6" s="102" t="s">
        <v>742</v>
      </c>
      <c r="S6" s="102" t="s">
        <v>494</v>
      </c>
    </row>
    <row r="7" spans="1:19" ht="18" customHeight="1">
      <c r="A7" s="106">
        <v>1</v>
      </c>
      <c r="B7" s="106">
        <v>2</v>
      </c>
      <c r="C7" s="106"/>
      <c r="D7" s="106"/>
      <c r="E7" s="106">
        <v>3</v>
      </c>
      <c r="F7" s="106">
        <v>4</v>
      </c>
      <c r="G7" s="106">
        <v>5</v>
      </c>
      <c r="H7" s="106" t="s">
        <v>743</v>
      </c>
      <c r="I7" s="106">
        <v>7</v>
      </c>
      <c r="J7" s="106">
        <v>8</v>
      </c>
      <c r="K7" s="106">
        <v>9</v>
      </c>
      <c r="L7" s="106">
        <v>10</v>
      </c>
      <c r="M7" s="106">
        <v>11</v>
      </c>
      <c r="N7" s="106">
        <v>12</v>
      </c>
      <c r="O7" s="107">
        <v>13</v>
      </c>
      <c r="P7" s="106">
        <v>14</v>
      </c>
      <c r="Q7" s="106">
        <v>15</v>
      </c>
      <c r="R7" s="106">
        <v>16</v>
      </c>
      <c r="S7" s="106">
        <v>17</v>
      </c>
    </row>
    <row r="8" spans="1:19" ht="18" customHeight="1">
      <c r="A8" s="232" t="s">
        <v>747</v>
      </c>
      <c r="B8" s="233"/>
      <c r="C8" s="226"/>
      <c r="D8" s="226"/>
      <c r="E8" s="226"/>
      <c r="F8" s="226"/>
      <c r="G8" s="226"/>
      <c r="H8" s="226"/>
      <c r="I8" s="234"/>
      <c r="J8" s="226"/>
      <c r="K8" s="234"/>
      <c r="L8" s="226"/>
      <c r="M8" s="226"/>
      <c r="N8" s="226"/>
      <c r="O8" s="235"/>
      <c r="P8" s="226"/>
      <c r="Q8" s="226"/>
      <c r="R8" s="226"/>
      <c r="S8" s="226"/>
    </row>
    <row r="9" spans="1:19" s="236" customFormat="1" ht="18" customHeight="1">
      <c r="A9" s="234">
        <v>1</v>
      </c>
      <c r="B9" s="226" t="s">
        <v>923</v>
      </c>
      <c r="C9" s="228">
        <v>2871</v>
      </c>
      <c r="D9" s="228">
        <v>9389</v>
      </c>
      <c r="E9" s="228">
        <f>150+100</f>
        <v>250</v>
      </c>
      <c r="F9" s="228">
        <v>200</v>
      </c>
      <c r="G9" s="228">
        <v>150</v>
      </c>
      <c r="H9" s="228">
        <f>SUM(E9:G9)</f>
        <v>600</v>
      </c>
      <c r="I9" s="228">
        <v>1596</v>
      </c>
      <c r="J9" s="230">
        <f>I9/C9%</f>
        <v>55.59038662486938</v>
      </c>
      <c r="K9" s="228">
        <f>I9+H9</f>
        <v>2196</v>
      </c>
      <c r="L9" s="230">
        <f>K9/C9%</f>
        <v>76.48902821316614</v>
      </c>
      <c r="M9" s="228">
        <v>2871</v>
      </c>
      <c r="N9" s="228">
        <f>M9/C9%</f>
        <v>100</v>
      </c>
      <c r="O9" s="228">
        <v>4</v>
      </c>
      <c r="P9" s="228">
        <v>1</v>
      </c>
      <c r="Q9" s="228">
        <v>100</v>
      </c>
      <c r="R9" s="228">
        <v>1</v>
      </c>
      <c r="S9" s="226">
        <v>100</v>
      </c>
    </row>
    <row r="10" spans="1:19" s="236" customFormat="1" ht="18" customHeight="1">
      <c r="A10" s="234">
        <v>2</v>
      </c>
      <c r="B10" s="227" t="s">
        <v>924</v>
      </c>
      <c r="C10" s="228">
        <v>2263</v>
      </c>
      <c r="D10" s="228">
        <v>9104</v>
      </c>
      <c r="E10" s="228">
        <f>120+100</f>
        <v>220</v>
      </c>
      <c r="F10" s="228">
        <v>150</v>
      </c>
      <c r="G10" s="228">
        <v>130</v>
      </c>
      <c r="H10" s="228">
        <f>SUM(E10:G10)</f>
        <v>500</v>
      </c>
      <c r="I10" s="228">
        <v>1288</v>
      </c>
      <c r="J10" s="230">
        <f>I10/C10%</f>
        <v>56.91559876270438</v>
      </c>
      <c r="K10" s="228">
        <f>I10+H10</f>
        <v>1788</v>
      </c>
      <c r="L10" s="230">
        <f>K10/C10%</f>
        <v>79.01016349977905</v>
      </c>
      <c r="M10" s="228">
        <v>2263</v>
      </c>
      <c r="N10" s="228">
        <f>M10/C10%</f>
        <v>100</v>
      </c>
      <c r="O10" s="228">
        <v>5</v>
      </c>
      <c r="P10" s="228"/>
      <c r="Q10" s="228">
        <v>100</v>
      </c>
      <c r="R10" s="228">
        <v>1</v>
      </c>
      <c r="S10" s="226">
        <v>100</v>
      </c>
    </row>
    <row r="11" spans="1:19" s="236" customFormat="1" ht="18" customHeight="1">
      <c r="A11" s="234">
        <v>3</v>
      </c>
      <c r="B11" s="226" t="s">
        <v>925</v>
      </c>
      <c r="C11" s="228">
        <v>874</v>
      </c>
      <c r="D11" s="228">
        <v>3596</v>
      </c>
      <c r="E11" s="369">
        <f>50+100</f>
        <v>150</v>
      </c>
      <c r="F11" s="370">
        <v>50</v>
      </c>
      <c r="G11" s="370">
        <v>10</v>
      </c>
      <c r="H11" s="228">
        <f>SUM(E11:G11)</f>
        <v>210</v>
      </c>
      <c r="I11" s="228">
        <v>643</v>
      </c>
      <c r="J11" s="230">
        <f>I11/C11%</f>
        <v>73.56979405034325</v>
      </c>
      <c r="K11" s="228">
        <f>I11+H11</f>
        <v>853</v>
      </c>
      <c r="L11" s="230">
        <f>K11/C11%</f>
        <v>97.59725400457666</v>
      </c>
      <c r="M11" s="228">
        <v>874</v>
      </c>
      <c r="N11" s="228">
        <f>M11/C11%</f>
        <v>100</v>
      </c>
      <c r="O11" s="228">
        <v>3</v>
      </c>
      <c r="P11" s="228"/>
      <c r="Q11" s="228">
        <v>100</v>
      </c>
      <c r="R11" s="228">
        <v>1</v>
      </c>
      <c r="S11" s="226">
        <v>100</v>
      </c>
    </row>
    <row r="12" spans="1:19" ht="18" customHeight="1">
      <c r="A12" s="1410" t="s">
        <v>744</v>
      </c>
      <c r="B12" s="1411"/>
      <c r="C12" s="237">
        <f>SUM(C9:C11)</f>
        <v>6008</v>
      </c>
      <c r="D12" s="237">
        <f>SUM(D9:D11)</f>
        <v>22089</v>
      </c>
      <c r="E12" s="237">
        <f aca="true" t="shared" si="0" ref="E12:M12">SUM(E9:E11)</f>
        <v>620</v>
      </c>
      <c r="F12" s="237">
        <f t="shared" si="0"/>
        <v>400</v>
      </c>
      <c r="G12" s="237">
        <f t="shared" si="0"/>
        <v>290</v>
      </c>
      <c r="H12" s="237">
        <f t="shared" si="0"/>
        <v>1310</v>
      </c>
      <c r="I12" s="237">
        <f t="shared" si="0"/>
        <v>3527</v>
      </c>
      <c r="J12" s="244">
        <f>+I12/$C$12</f>
        <v>0.5870505992010653</v>
      </c>
      <c r="K12" s="237">
        <f t="shared" si="0"/>
        <v>4837</v>
      </c>
      <c r="L12" s="244">
        <f>+K12/$C$12</f>
        <v>0.8050932090545939</v>
      </c>
      <c r="M12" s="237">
        <f t="shared" si="0"/>
        <v>6008</v>
      </c>
      <c r="N12" s="244">
        <f>+M12/$C$12</f>
        <v>1</v>
      </c>
      <c r="O12" s="245">
        <f>SUM(O9:O11)</f>
        <v>12</v>
      </c>
      <c r="P12" s="245">
        <f>SUM(P9:P11)</f>
        <v>1</v>
      </c>
      <c r="Q12" s="244"/>
      <c r="R12" s="245">
        <f>SUM(R9:R11)</f>
        <v>3</v>
      </c>
      <c r="S12" s="246"/>
    </row>
    <row r="13" spans="1:19" ht="22.5" customHeight="1">
      <c r="A13" s="239" t="s">
        <v>748</v>
      </c>
      <c r="B13" s="226"/>
      <c r="C13" s="226"/>
      <c r="D13" s="226"/>
      <c r="E13" s="226"/>
      <c r="F13" s="226"/>
      <c r="G13" s="226"/>
      <c r="H13" s="226"/>
      <c r="I13" s="234"/>
      <c r="J13" s="226"/>
      <c r="K13" s="234"/>
      <c r="L13" s="226"/>
      <c r="M13" s="226"/>
      <c r="N13" s="226"/>
      <c r="O13" s="228"/>
      <c r="P13" s="226"/>
      <c r="Q13" s="226"/>
      <c r="R13" s="226"/>
      <c r="S13" s="226"/>
    </row>
    <row r="14" spans="1:19" s="236" customFormat="1" ht="30">
      <c r="A14" s="108">
        <v>1</v>
      </c>
      <c r="B14" s="371" t="s">
        <v>926</v>
      </c>
      <c r="C14" s="228">
        <v>1610</v>
      </c>
      <c r="D14" s="228">
        <v>6328</v>
      </c>
      <c r="E14" s="228"/>
      <c r="F14" s="228"/>
      <c r="G14" s="228">
        <v>20</v>
      </c>
      <c r="H14" s="228">
        <f>SUM(E14:G14)</f>
        <v>20</v>
      </c>
      <c r="I14" s="228">
        <v>1124</v>
      </c>
      <c r="J14" s="230">
        <f aca="true" t="shared" si="1" ref="J14:J19">I14/C14%</f>
        <v>69.81366459627328</v>
      </c>
      <c r="K14" s="228">
        <f>I14+H14</f>
        <v>1144</v>
      </c>
      <c r="L14" s="230">
        <f aca="true" t="shared" si="2" ref="L14:L19">K14/C14%</f>
        <v>71.055900621118</v>
      </c>
      <c r="M14" s="228">
        <v>1530</v>
      </c>
      <c r="N14" s="230">
        <f aca="true" t="shared" si="3" ref="N14:N19">M14/C14%</f>
        <v>95.03105590062111</v>
      </c>
      <c r="O14" s="372">
        <v>3</v>
      </c>
      <c r="P14" s="226"/>
      <c r="Q14" s="240"/>
      <c r="R14" s="372">
        <v>1</v>
      </c>
      <c r="S14" s="240"/>
    </row>
    <row r="15" spans="1:19" s="236" customFormat="1" ht="18" customHeight="1">
      <c r="A15" s="108">
        <v>2</v>
      </c>
      <c r="B15" s="226" t="s">
        <v>927</v>
      </c>
      <c r="C15" s="228">
        <v>896</v>
      </c>
      <c r="D15" s="228">
        <v>3867</v>
      </c>
      <c r="E15" s="228"/>
      <c r="F15" s="228"/>
      <c r="G15" s="228">
        <v>20</v>
      </c>
      <c r="H15" s="228">
        <f>SUM(E15:G15)</f>
        <v>20</v>
      </c>
      <c r="I15" s="228">
        <v>597</v>
      </c>
      <c r="J15" s="230">
        <f t="shared" si="1"/>
        <v>66.62946428571428</v>
      </c>
      <c r="K15" s="228">
        <f>I15+H15</f>
        <v>617</v>
      </c>
      <c r="L15" s="230">
        <f t="shared" si="2"/>
        <v>68.86160714285714</v>
      </c>
      <c r="M15" s="228">
        <v>870</v>
      </c>
      <c r="N15" s="230">
        <f t="shared" si="3"/>
        <v>97.09821428571428</v>
      </c>
      <c r="O15" s="372">
        <v>3</v>
      </c>
      <c r="P15" s="226"/>
      <c r="Q15" s="240"/>
      <c r="R15" s="372">
        <v>1</v>
      </c>
      <c r="S15" s="240"/>
    </row>
    <row r="16" spans="1:19" s="236" customFormat="1" ht="18" customHeight="1">
      <c r="A16" s="108">
        <v>3</v>
      </c>
      <c r="B16" s="226" t="s">
        <v>928</v>
      </c>
      <c r="C16" s="228">
        <v>1476</v>
      </c>
      <c r="D16" s="228">
        <v>5204</v>
      </c>
      <c r="E16" s="228"/>
      <c r="F16" s="228"/>
      <c r="G16" s="228">
        <v>5</v>
      </c>
      <c r="H16" s="228">
        <f>SUM(E16:G16)</f>
        <v>5</v>
      </c>
      <c r="I16" s="228">
        <v>1148</v>
      </c>
      <c r="J16" s="230">
        <f t="shared" si="1"/>
        <v>77.77777777777779</v>
      </c>
      <c r="K16" s="228">
        <f>I16+H16</f>
        <v>1153</v>
      </c>
      <c r="L16" s="230">
        <f t="shared" si="2"/>
        <v>78.11653116531166</v>
      </c>
      <c r="M16" s="228">
        <v>1436</v>
      </c>
      <c r="N16" s="230">
        <f t="shared" si="3"/>
        <v>97.289972899729</v>
      </c>
      <c r="O16" s="372">
        <v>2</v>
      </c>
      <c r="P16" s="226">
        <v>1</v>
      </c>
      <c r="Q16" s="240"/>
      <c r="R16" s="372">
        <v>1</v>
      </c>
      <c r="S16" s="240"/>
    </row>
    <row r="17" spans="1:19" s="236" customFormat="1" ht="18" customHeight="1">
      <c r="A17" s="108">
        <v>4</v>
      </c>
      <c r="B17" s="226" t="s">
        <v>929</v>
      </c>
      <c r="C17" s="228">
        <v>659</v>
      </c>
      <c r="D17" s="228">
        <v>2362</v>
      </c>
      <c r="E17" s="228"/>
      <c r="F17" s="228"/>
      <c r="G17" s="228">
        <v>20</v>
      </c>
      <c r="H17" s="228">
        <f>SUM(E17:G17)</f>
        <v>20</v>
      </c>
      <c r="I17" s="228">
        <v>458</v>
      </c>
      <c r="J17" s="230">
        <f t="shared" si="1"/>
        <v>69.49924127465857</v>
      </c>
      <c r="K17" s="228">
        <f>I17+H17</f>
        <v>478</v>
      </c>
      <c r="L17" s="230">
        <f t="shared" si="2"/>
        <v>72.5341426403642</v>
      </c>
      <c r="M17" s="228">
        <v>630</v>
      </c>
      <c r="N17" s="230">
        <f t="shared" si="3"/>
        <v>95.59939301972686</v>
      </c>
      <c r="O17" s="372">
        <v>3</v>
      </c>
      <c r="P17" s="226"/>
      <c r="Q17" s="240"/>
      <c r="R17" s="372">
        <v>1</v>
      </c>
      <c r="S17" s="240"/>
    </row>
    <row r="18" spans="1:19" s="236" customFormat="1" ht="18" customHeight="1">
      <c r="A18" s="108">
        <v>5</v>
      </c>
      <c r="B18" s="373" t="s">
        <v>930</v>
      </c>
      <c r="C18" s="228">
        <v>1356</v>
      </c>
      <c r="D18" s="228">
        <v>4606</v>
      </c>
      <c r="E18" s="228"/>
      <c r="F18" s="228"/>
      <c r="G18" s="228">
        <v>5</v>
      </c>
      <c r="H18" s="228">
        <f>SUM(E18:G18)</f>
        <v>5</v>
      </c>
      <c r="I18" s="228">
        <v>1257</v>
      </c>
      <c r="J18" s="230">
        <f t="shared" si="1"/>
        <v>92.69911504424779</v>
      </c>
      <c r="K18" s="228">
        <f>I18+H18</f>
        <v>1262</v>
      </c>
      <c r="L18" s="230">
        <f t="shared" si="2"/>
        <v>93.06784660766961</v>
      </c>
      <c r="M18" s="228">
        <v>1110</v>
      </c>
      <c r="N18" s="230">
        <f t="shared" si="3"/>
        <v>81.85840707964601</v>
      </c>
      <c r="O18" s="372">
        <v>3</v>
      </c>
      <c r="P18" s="226">
        <v>1</v>
      </c>
      <c r="Q18" s="240"/>
      <c r="R18" s="372">
        <v>1</v>
      </c>
      <c r="S18" s="240"/>
    </row>
    <row r="19" spans="1:19" s="236" customFormat="1" ht="18" customHeight="1">
      <c r="A19" s="238" t="s">
        <v>745</v>
      </c>
      <c r="B19" s="238"/>
      <c r="C19" s="237">
        <f aca="true" t="shared" si="4" ref="C19:I19">SUM(C14:C18)</f>
        <v>5997</v>
      </c>
      <c r="D19" s="237">
        <f t="shared" si="4"/>
        <v>22367</v>
      </c>
      <c r="E19" s="237">
        <f t="shared" si="4"/>
        <v>0</v>
      </c>
      <c r="F19" s="237">
        <f t="shared" si="4"/>
        <v>0</v>
      </c>
      <c r="G19" s="237">
        <f t="shared" si="4"/>
        <v>70</v>
      </c>
      <c r="H19" s="237">
        <f t="shared" si="4"/>
        <v>70</v>
      </c>
      <c r="I19" s="374">
        <f t="shared" si="4"/>
        <v>4584</v>
      </c>
      <c r="J19" s="375">
        <f t="shared" si="1"/>
        <v>76.43821910955478</v>
      </c>
      <c r="K19" s="374">
        <f>SUM(K14:K18)</f>
        <v>4654</v>
      </c>
      <c r="L19" s="375">
        <f t="shared" si="2"/>
        <v>77.60546940136736</v>
      </c>
      <c r="M19" s="374">
        <f>SUM(M14:M18)</f>
        <v>5576</v>
      </c>
      <c r="N19" s="376">
        <f t="shared" si="3"/>
        <v>92.97982324495581</v>
      </c>
      <c r="O19" s="374">
        <f>SUM(O14:O18)</f>
        <v>14</v>
      </c>
      <c r="P19" s="374">
        <f>SUM(P14:P18)</f>
        <v>2</v>
      </c>
      <c r="Q19" s="238"/>
      <c r="R19" s="374">
        <f>SUM(R14:R18)</f>
        <v>5</v>
      </c>
      <c r="S19" s="238"/>
    </row>
    <row r="20" spans="1:19" s="248" customFormat="1" ht="18" customHeight="1">
      <c r="A20" s="368" t="s">
        <v>746</v>
      </c>
      <c r="B20" s="247"/>
      <c r="C20" s="237">
        <f>+C19+C12</f>
        <v>12005</v>
      </c>
      <c r="D20" s="237">
        <f aca="true" t="shared" si="5" ref="D20:P20">+D19+D12</f>
        <v>44456</v>
      </c>
      <c r="E20" s="237">
        <f t="shared" si="5"/>
        <v>620</v>
      </c>
      <c r="F20" s="237">
        <f t="shared" si="5"/>
        <v>400</v>
      </c>
      <c r="G20" s="237">
        <f t="shared" si="5"/>
        <v>360</v>
      </c>
      <c r="H20" s="237">
        <f t="shared" si="5"/>
        <v>1380</v>
      </c>
      <c r="I20" s="237">
        <f t="shared" si="5"/>
        <v>8111</v>
      </c>
      <c r="J20" s="249">
        <f t="shared" si="5"/>
        <v>77.02526970875584</v>
      </c>
      <c r="K20" s="237">
        <f t="shared" si="5"/>
        <v>9491</v>
      </c>
      <c r="L20" s="249">
        <f t="shared" si="5"/>
        <v>78.41056261042195</v>
      </c>
      <c r="M20" s="237">
        <f t="shared" si="5"/>
        <v>11584</v>
      </c>
      <c r="N20" s="249">
        <f t="shared" si="5"/>
        <v>93.97982324495581</v>
      </c>
      <c r="O20" s="237">
        <f t="shared" si="5"/>
        <v>26</v>
      </c>
      <c r="P20" s="237">
        <f t="shared" si="5"/>
        <v>3</v>
      </c>
      <c r="Q20" s="237"/>
      <c r="R20" s="237">
        <f>+R19+R12</f>
        <v>8</v>
      </c>
      <c r="S20" s="243"/>
    </row>
    <row r="21" spans="1:13" ht="15.75">
      <c r="A21" s="241"/>
      <c r="B21" s="241"/>
      <c r="C21" s="241"/>
      <c r="D21" s="241"/>
      <c r="E21" s="242"/>
      <c r="F21" s="241"/>
      <c r="G21" s="242"/>
      <c r="H21" s="241"/>
      <c r="I21" s="241"/>
      <c r="J21" s="241"/>
      <c r="K21" s="241"/>
      <c r="L21" s="241"/>
      <c r="M21" s="241"/>
    </row>
  </sheetData>
  <sheetProtection/>
  <mergeCells count="14">
    <mergeCell ref="A4:A6"/>
    <mergeCell ref="B4:B6"/>
    <mergeCell ref="C4:C6"/>
    <mergeCell ref="D4:D6"/>
    <mergeCell ref="A2:S2"/>
    <mergeCell ref="A1:S1"/>
    <mergeCell ref="A12:B12"/>
    <mergeCell ref="E4:L4"/>
    <mergeCell ref="O4:Q5"/>
    <mergeCell ref="R4:S5"/>
    <mergeCell ref="E5:H5"/>
    <mergeCell ref="I5:J5"/>
    <mergeCell ref="K5:L5"/>
    <mergeCell ref="M5:N5"/>
  </mergeCells>
  <printOptions horizontalCentered="1"/>
  <pageMargins left="0.38" right="0.27" top="0.73" bottom="1" header="0.5" footer="0.5"/>
  <pageSetup firstPageNumber="9" useFirstPageNumber="1" horizontalDpi="600" verticalDpi="600" orientation="landscape" paperSize="9" scale="8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V56"/>
  <sheetViews>
    <sheetView showZeros="0" view="pageBreakPreview" zoomScale="85" zoomScaleSheetLayoutView="85" zoomScalePageLayoutView="0" workbookViewId="0" topLeftCell="A1">
      <selection activeCell="B11" sqref="B11"/>
    </sheetView>
  </sheetViews>
  <sheetFormatPr defaultColWidth="8.796875" defaultRowHeight="15"/>
  <cols>
    <col min="1" max="1" width="4.19921875" style="377" customWidth="1"/>
    <col min="2" max="2" width="21.8984375" style="377" customWidth="1"/>
    <col min="3" max="4" width="9.3984375" style="550" bestFit="1" customWidth="1"/>
    <col min="5" max="5" width="7.3984375" style="377" bestFit="1" customWidth="1"/>
    <col min="6" max="6" width="9.09765625" style="377" bestFit="1" customWidth="1"/>
    <col min="7" max="7" width="6.59765625" style="377" customWidth="1"/>
    <col min="8" max="8" width="8.69921875" style="377" customWidth="1"/>
    <col min="9" max="9" width="8.19921875" style="377" bestFit="1" customWidth="1"/>
    <col min="10" max="10" width="7.59765625" style="377" customWidth="1"/>
    <col min="11" max="11" width="8.3984375" style="377" bestFit="1" customWidth="1"/>
    <col min="12" max="12" width="7.5" style="377" bestFit="1" customWidth="1"/>
    <col min="13" max="13" width="9.3984375" style="377" bestFit="1" customWidth="1"/>
    <col min="14" max="14" width="7.5" style="377" bestFit="1" customWidth="1"/>
    <col min="15" max="15" width="8.69921875" style="377" bestFit="1" customWidth="1"/>
    <col min="16" max="16" width="8.19921875" style="377" bestFit="1" customWidth="1"/>
    <col min="17" max="17" width="5.69921875" style="377" bestFit="1" customWidth="1"/>
    <col min="18" max="19" width="4.59765625" style="377" customWidth="1"/>
    <col min="20" max="20" width="9.09765625" style="496" bestFit="1" customWidth="1"/>
    <col min="21" max="21" width="9" style="377" customWidth="1"/>
    <col min="22" max="22" width="9.09765625" style="377" bestFit="1" customWidth="1"/>
    <col min="23" max="16384" width="9" style="377" customWidth="1"/>
  </cols>
  <sheetData>
    <row r="1" spans="1:19" ht="15.75">
      <c r="A1" s="1409" t="s">
        <v>1143</v>
      </c>
      <c r="B1" s="1409"/>
      <c r="C1" s="1409"/>
      <c r="D1" s="1409"/>
      <c r="E1" s="1409"/>
      <c r="F1" s="1409"/>
      <c r="G1" s="1409"/>
      <c r="H1" s="1409"/>
      <c r="I1" s="1409"/>
      <c r="J1" s="1409"/>
      <c r="K1" s="1409"/>
      <c r="L1" s="1409"/>
      <c r="M1" s="1409"/>
      <c r="N1" s="1409"/>
      <c r="O1" s="1409"/>
      <c r="P1" s="1409"/>
      <c r="Q1" s="1409"/>
      <c r="R1" s="1409"/>
      <c r="S1" s="1409"/>
    </row>
    <row r="2" spans="1:19" ht="15.75">
      <c r="A2" s="1408" t="e">
        <f>+#REF!</f>
        <v>#REF!</v>
      </c>
      <c r="B2" s="1408"/>
      <c r="C2" s="1408"/>
      <c r="D2" s="1408"/>
      <c r="E2" s="1408"/>
      <c r="F2" s="1408"/>
      <c r="G2" s="1408"/>
      <c r="H2" s="1408"/>
      <c r="I2" s="1408"/>
      <c r="J2" s="1408"/>
      <c r="K2" s="1408"/>
      <c r="L2" s="1408"/>
      <c r="M2" s="1408"/>
      <c r="N2" s="1408"/>
      <c r="O2" s="1408"/>
      <c r="P2" s="1408"/>
      <c r="Q2" s="1408"/>
      <c r="R2" s="1408"/>
      <c r="S2" s="1408"/>
    </row>
    <row r="3" ht="18" customHeight="1"/>
    <row r="4" spans="1:19" ht="36.75" customHeight="1">
      <c r="A4" s="1420" t="s">
        <v>488</v>
      </c>
      <c r="B4" s="1420" t="s">
        <v>729</v>
      </c>
      <c r="C4" s="1427" t="s">
        <v>730</v>
      </c>
      <c r="D4" s="1427" t="s">
        <v>727</v>
      </c>
      <c r="E4" s="1412" t="s">
        <v>731</v>
      </c>
      <c r="F4" s="1413"/>
      <c r="G4" s="1413"/>
      <c r="H4" s="1413"/>
      <c r="I4" s="1413"/>
      <c r="J4" s="1413"/>
      <c r="K4" s="1413"/>
      <c r="L4" s="1413"/>
      <c r="M4" s="103"/>
      <c r="N4" s="103"/>
      <c r="O4" s="1414" t="s">
        <v>732</v>
      </c>
      <c r="P4" s="1415"/>
      <c r="Q4" s="1416"/>
      <c r="R4" s="1420" t="s">
        <v>733</v>
      </c>
      <c r="S4" s="1420"/>
    </row>
    <row r="5" spans="1:19" ht="45" customHeight="1">
      <c r="A5" s="1420"/>
      <c r="B5" s="1420"/>
      <c r="C5" s="1428"/>
      <c r="D5" s="1428"/>
      <c r="E5" s="1421" t="s">
        <v>549</v>
      </c>
      <c r="F5" s="1422"/>
      <c r="G5" s="1422"/>
      <c r="H5" s="1423"/>
      <c r="I5" s="1421" t="s">
        <v>750</v>
      </c>
      <c r="J5" s="1423"/>
      <c r="K5" s="1421" t="s">
        <v>547</v>
      </c>
      <c r="L5" s="1423"/>
      <c r="M5" s="1421" t="s">
        <v>548</v>
      </c>
      <c r="N5" s="1422"/>
      <c r="O5" s="1417"/>
      <c r="P5" s="1418"/>
      <c r="Q5" s="1419"/>
      <c r="R5" s="1420"/>
      <c r="S5" s="1420"/>
    </row>
    <row r="6" spans="1:19" ht="38.25">
      <c r="A6" s="1420"/>
      <c r="B6" s="1420"/>
      <c r="C6" s="1429"/>
      <c r="D6" s="1429"/>
      <c r="E6" s="102" t="s">
        <v>735</v>
      </c>
      <c r="F6" s="102" t="s">
        <v>736</v>
      </c>
      <c r="G6" s="102" t="s">
        <v>737</v>
      </c>
      <c r="H6" s="102" t="s">
        <v>738</v>
      </c>
      <c r="I6" s="102" t="s">
        <v>728</v>
      </c>
      <c r="J6" s="102" t="s">
        <v>494</v>
      </c>
      <c r="K6" s="102" t="s">
        <v>728</v>
      </c>
      <c r="L6" s="102" t="s">
        <v>494</v>
      </c>
      <c r="M6" s="102" t="s">
        <v>728</v>
      </c>
      <c r="N6" s="102" t="s">
        <v>494</v>
      </c>
      <c r="O6" s="104" t="s">
        <v>739</v>
      </c>
      <c r="P6" s="105" t="s">
        <v>740</v>
      </c>
      <c r="Q6" s="102" t="s">
        <v>741</v>
      </c>
      <c r="R6" s="102" t="s">
        <v>742</v>
      </c>
      <c r="S6" s="102" t="s">
        <v>494</v>
      </c>
    </row>
    <row r="7" spans="1:22" ht="18" customHeight="1">
      <c r="A7" s="106">
        <v>1</v>
      </c>
      <c r="B7" s="106">
        <v>2</v>
      </c>
      <c r="C7" s="551"/>
      <c r="D7" s="551"/>
      <c r="E7" s="106">
        <v>3</v>
      </c>
      <c r="F7" s="106">
        <v>4</v>
      </c>
      <c r="G7" s="106">
        <v>5</v>
      </c>
      <c r="H7" s="106" t="s">
        <v>743</v>
      </c>
      <c r="I7" s="106">
        <v>7</v>
      </c>
      <c r="J7" s="106">
        <v>8</v>
      </c>
      <c r="K7" s="106">
        <v>9</v>
      </c>
      <c r="L7" s="106">
        <v>10</v>
      </c>
      <c r="M7" s="106">
        <v>11</v>
      </c>
      <c r="N7" s="106">
        <v>12</v>
      </c>
      <c r="O7" s="107">
        <v>13</v>
      </c>
      <c r="P7" s="106">
        <v>14</v>
      </c>
      <c r="Q7" s="106">
        <v>15</v>
      </c>
      <c r="R7" s="106">
        <v>16</v>
      </c>
      <c r="S7" s="106">
        <v>17</v>
      </c>
      <c r="T7" s="496">
        <f>+T8*4</f>
        <v>2480</v>
      </c>
      <c r="U7" s="377">
        <f>+U8*2</f>
        <v>0</v>
      </c>
      <c r="V7" s="378">
        <f>SUM(T7:U7)</f>
        <v>2480</v>
      </c>
    </row>
    <row r="8" spans="1:22" ht="18" customHeight="1">
      <c r="A8" s="232" t="s">
        <v>284</v>
      </c>
      <c r="B8" s="233"/>
      <c r="C8" s="552"/>
      <c r="D8" s="552"/>
      <c r="E8" s="226"/>
      <c r="F8" s="226"/>
      <c r="G8" s="226"/>
      <c r="H8" s="226"/>
      <c r="I8" s="234"/>
      <c r="J8" s="226"/>
      <c r="K8" s="234"/>
      <c r="L8" s="226"/>
      <c r="M8" s="226"/>
      <c r="N8" s="226"/>
      <c r="O8" s="235"/>
      <c r="P8" s="226"/>
      <c r="Q8" s="226"/>
      <c r="R8" s="226"/>
      <c r="S8" s="226"/>
      <c r="T8" s="497">
        <f>+E13-U8</f>
        <v>620</v>
      </c>
      <c r="U8" s="379">
        <f>SUM(U9:U12)</f>
        <v>0</v>
      </c>
      <c r="V8" s="379"/>
    </row>
    <row r="9" spans="1:21" s="236" customFormat="1" ht="18" customHeight="1">
      <c r="A9" s="234">
        <v>1</v>
      </c>
      <c r="B9" s="533" t="s">
        <v>923</v>
      </c>
      <c r="C9" s="540">
        <v>2363</v>
      </c>
      <c r="D9" s="540">
        <v>9555</v>
      </c>
      <c r="E9" s="540">
        <v>200</v>
      </c>
      <c r="F9" s="541">
        <v>0</v>
      </c>
      <c r="G9" s="541">
        <v>40</v>
      </c>
      <c r="H9" s="542">
        <f>SUM(E9:G9)</f>
        <v>240</v>
      </c>
      <c r="I9" s="549">
        <v>1432</v>
      </c>
      <c r="J9" s="230">
        <f>+I9*100/C9</f>
        <v>60.60093101988997</v>
      </c>
      <c r="K9" s="549">
        <f>+I9+H9</f>
        <v>1672</v>
      </c>
      <c r="L9" s="230">
        <f>+K9*100/C9</f>
        <v>70.75751163774862</v>
      </c>
      <c r="M9" s="549">
        <f>+C9</f>
        <v>2363</v>
      </c>
      <c r="N9" s="228">
        <v>100</v>
      </c>
      <c r="O9" s="380">
        <v>4</v>
      </c>
      <c r="P9" s="380">
        <v>0</v>
      </c>
      <c r="Q9" s="228">
        <v>100</v>
      </c>
      <c r="R9" s="228">
        <v>1</v>
      </c>
      <c r="S9" s="226">
        <v>100</v>
      </c>
      <c r="T9" s="500" t="s">
        <v>428</v>
      </c>
      <c r="U9" s="381"/>
    </row>
    <row r="10" spans="1:21" s="236" customFormat="1" ht="18" customHeight="1">
      <c r="A10" s="234">
        <f>+A9+1</f>
        <v>2</v>
      </c>
      <c r="B10" s="534" t="s">
        <v>926</v>
      </c>
      <c r="C10" s="543">
        <v>1563</v>
      </c>
      <c r="D10" s="544">
        <v>6373</v>
      </c>
      <c r="E10" s="545">
        <v>150</v>
      </c>
      <c r="F10" s="546">
        <v>40</v>
      </c>
      <c r="G10" s="546">
        <v>30</v>
      </c>
      <c r="H10" s="542">
        <f>SUM(E10:G10)</f>
        <v>220</v>
      </c>
      <c r="I10" s="549">
        <v>889</v>
      </c>
      <c r="J10" s="230">
        <f>+I10*100/C10</f>
        <v>56.87779910428663</v>
      </c>
      <c r="K10" s="549">
        <f>+I10+H10</f>
        <v>1109</v>
      </c>
      <c r="L10" s="230">
        <f>+K10*100/C10</f>
        <v>70.9532949456174</v>
      </c>
      <c r="M10" s="549">
        <f>+C10</f>
        <v>1563</v>
      </c>
      <c r="N10" s="228">
        <v>100</v>
      </c>
      <c r="O10" s="380">
        <v>3</v>
      </c>
      <c r="P10" s="380">
        <v>1</v>
      </c>
      <c r="Q10" s="228">
        <v>100</v>
      </c>
      <c r="R10" s="228"/>
      <c r="S10" s="226">
        <v>100</v>
      </c>
      <c r="T10" s="500" t="s">
        <v>429</v>
      </c>
      <c r="U10" s="381"/>
    </row>
    <row r="11" spans="1:21" s="236" customFormat="1" ht="18" customHeight="1">
      <c r="A11" s="234">
        <f>+A10+1</f>
        <v>3</v>
      </c>
      <c r="B11" s="533" t="s">
        <v>928</v>
      </c>
      <c r="C11" s="539">
        <v>1550</v>
      </c>
      <c r="D11" s="539">
        <v>5708</v>
      </c>
      <c r="E11" s="547">
        <v>150</v>
      </c>
      <c r="F11" s="546">
        <v>50</v>
      </c>
      <c r="G11" s="546">
        <v>40</v>
      </c>
      <c r="H11" s="542">
        <f>SUM(E11:G11)</f>
        <v>240</v>
      </c>
      <c r="I11" s="549">
        <v>856</v>
      </c>
      <c r="J11" s="230">
        <f>+I11*100/C11</f>
        <v>55.225806451612904</v>
      </c>
      <c r="K11" s="549">
        <f>+I11+H11</f>
        <v>1096</v>
      </c>
      <c r="L11" s="230">
        <f>+K11*100/C11</f>
        <v>70.70967741935483</v>
      </c>
      <c r="M11" s="549">
        <f>+C11</f>
        <v>1550</v>
      </c>
      <c r="N11" s="228">
        <v>100</v>
      </c>
      <c r="O11" s="380">
        <v>4</v>
      </c>
      <c r="P11" s="380">
        <v>0</v>
      </c>
      <c r="Q11" s="228">
        <v>100</v>
      </c>
      <c r="R11" s="228"/>
      <c r="S11" s="226">
        <v>100</v>
      </c>
      <c r="T11" s="500" t="s">
        <v>430</v>
      </c>
      <c r="U11" s="381"/>
    </row>
    <row r="12" spans="1:21" s="236" customFormat="1" ht="18" customHeight="1">
      <c r="A12" s="234">
        <f>+A11+1</f>
        <v>4</v>
      </c>
      <c r="B12" s="392" t="s">
        <v>930</v>
      </c>
      <c r="C12" s="548">
        <v>1396</v>
      </c>
      <c r="D12" s="558">
        <v>4736</v>
      </c>
      <c r="E12" s="547">
        <v>120</v>
      </c>
      <c r="F12" s="546">
        <v>20</v>
      </c>
      <c r="G12" s="546">
        <v>40</v>
      </c>
      <c r="H12" s="542">
        <f>SUM(E12:G12)</f>
        <v>180</v>
      </c>
      <c r="I12" s="549">
        <v>823</v>
      </c>
      <c r="J12" s="230">
        <f>+I12*100/C12</f>
        <v>58.95415472779369</v>
      </c>
      <c r="K12" s="549">
        <f>+I12+H12</f>
        <v>1003</v>
      </c>
      <c r="L12" s="230">
        <f>+K12*100/C12</f>
        <v>71.84813753581662</v>
      </c>
      <c r="M12" s="549">
        <f>+C12</f>
        <v>1396</v>
      </c>
      <c r="N12" s="228">
        <v>100</v>
      </c>
      <c r="O12" s="380">
        <v>3</v>
      </c>
      <c r="P12" s="380">
        <v>0</v>
      </c>
      <c r="Q12" s="228">
        <v>100</v>
      </c>
      <c r="R12" s="228">
        <v>1</v>
      </c>
      <c r="S12" s="226">
        <v>100</v>
      </c>
      <c r="T12" s="500" t="s">
        <v>431</v>
      </c>
      <c r="U12" s="381"/>
    </row>
    <row r="13" spans="1:19" ht="18" customHeight="1">
      <c r="A13" s="1410" t="s">
        <v>744</v>
      </c>
      <c r="B13" s="1411"/>
      <c r="C13" s="237">
        <f aca="true" t="shared" si="0" ref="C13:I13">SUM(C9:C12)</f>
        <v>6872</v>
      </c>
      <c r="D13" s="237">
        <f t="shared" si="0"/>
        <v>26372</v>
      </c>
      <c r="E13" s="237">
        <f t="shared" si="0"/>
        <v>620</v>
      </c>
      <c r="F13" s="237">
        <f t="shared" si="0"/>
        <v>110</v>
      </c>
      <c r="G13" s="237">
        <f t="shared" si="0"/>
        <v>150</v>
      </c>
      <c r="H13" s="237">
        <f t="shared" si="0"/>
        <v>880</v>
      </c>
      <c r="I13" s="237">
        <f t="shared" si="0"/>
        <v>4000</v>
      </c>
      <c r="J13" s="382">
        <f>+I13/C13</f>
        <v>0.5820721769499418</v>
      </c>
      <c r="K13" s="237">
        <f>SUM(K9:K12)</f>
        <v>4880</v>
      </c>
      <c r="L13" s="382">
        <f>+K13/C13</f>
        <v>0.710128055878929</v>
      </c>
      <c r="M13" s="237">
        <f>SUM(M9:M12)</f>
        <v>6872</v>
      </c>
      <c r="N13" s="383">
        <v>100</v>
      </c>
      <c r="O13" s="245">
        <f>SUM(O9:O12)</f>
        <v>14</v>
      </c>
      <c r="P13" s="245">
        <f>SUM(P9:P12)</f>
        <v>1</v>
      </c>
      <c r="Q13" s="244"/>
      <c r="R13" s="245">
        <f>SUM(R9:R12)</f>
        <v>2</v>
      </c>
      <c r="S13" s="384"/>
    </row>
    <row r="14" spans="1:21" ht="22.5" customHeight="1">
      <c r="A14" s="239" t="s">
        <v>285</v>
      </c>
      <c r="B14" s="226"/>
      <c r="C14" s="552"/>
      <c r="D14" s="552"/>
      <c r="E14" s="226"/>
      <c r="F14" s="226"/>
      <c r="G14" s="226"/>
      <c r="H14" s="226"/>
      <c r="I14" s="234"/>
      <c r="J14" s="226"/>
      <c r="K14" s="234"/>
      <c r="L14" s="226"/>
      <c r="M14" s="226"/>
      <c r="N14" s="226"/>
      <c r="O14" s="228"/>
      <c r="P14" s="226"/>
      <c r="Q14" s="226"/>
      <c r="R14" s="226"/>
      <c r="S14" s="226"/>
      <c r="U14" s="559"/>
    </row>
    <row r="15" spans="1:20" s="236" customFormat="1" ht="18" customHeight="1">
      <c r="A15" s="234">
        <v>1</v>
      </c>
      <c r="B15" s="533" t="s">
        <v>519</v>
      </c>
      <c r="C15" s="552">
        <v>1258</v>
      </c>
      <c r="D15" s="552">
        <v>4818</v>
      </c>
      <c r="E15" s="226"/>
      <c r="F15" s="226"/>
      <c r="G15" s="535">
        <v>50</v>
      </c>
      <c r="H15" s="386">
        <f aca="true" t="shared" si="1" ref="H15:H53">SUM(E15:G15)</f>
        <v>50</v>
      </c>
      <c r="I15" s="380"/>
      <c r="J15" s="387">
        <f>+I15*100/C15</f>
        <v>0</v>
      </c>
      <c r="K15" s="380"/>
      <c r="L15" s="230">
        <f>+K15*100/C15</f>
        <v>0</v>
      </c>
      <c r="M15" s="388"/>
      <c r="N15" s="389"/>
      <c r="O15" s="390"/>
      <c r="P15" s="385"/>
      <c r="Q15" s="391"/>
      <c r="R15" s="385"/>
      <c r="S15" s="370"/>
      <c r="T15" s="498"/>
    </row>
    <row r="16" spans="1:20" s="236" customFormat="1" ht="18" customHeight="1">
      <c r="A16" s="234">
        <f>+A15+1</f>
        <v>2</v>
      </c>
      <c r="B16" s="533" t="s">
        <v>520</v>
      </c>
      <c r="C16" s="552">
        <v>2104</v>
      </c>
      <c r="D16" s="552">
        <v>7633</v>
      </c>
      <c r="E16" s="226"/>
      <c r="F16" s="226"/>
      <c r="G16" s="535">
        <v>65</v>
      </c>
      <c r="H16" s="386">
        <f t="shared" si="1"/>
        <v>65</v>
      </c>
      <c r="I16" s="380"/>
      <c r="J16" s="387">
        <f>+I16*100/C16</f>
        <v>0</v>
      </c>
      <c r="K16" s="380"/>
      <c r="L16" s="230">
        <f>+K16*100/C16</f>
        <v>0</v>
      </c>
      <c r="M16" s="388"/>
      <c r="N16" s="389"/>
      <c r="O16" s="390"/>
      <c r="P16" s="385"/>
      <c r="Q16" s="391"/>
      <c r="R16" s="385"/>
      <c r="S16" s="370"/>
      <c r="T16" s="498"/>
    </row>
    <row r="17" spans="1:20" s="236" customFormat="1" ht="18" customHeight="1">
      <c r="A17" s="234">
        <f aca="true" t="shared" si="2" ref="A17:A53">+A16+1</f>
        <v>3</v>
      </c>
      <c r="B17" s="533" t="s">
        <v>521</v>
      </c>
      <c r="C17" s="549">
        <v>1557</v>
      </c>
      <c r="D17" s="549">
        <v>4619</v>
      </c>
      <c r="E17" s="228"/>
      <c r="F17" s="228"/>
      <c r="G17" s="535">
        <v>55</v>
      </c>
      <c r="H17" s="386">
        <f t="shared" si="1"/>
        <v>55</v>
      </c>
      <c r="I17" s="380"/>
      <c r="J17" s="387">
        <f>+I17*100/C17</f>
        <v>0</v>
      </c>
      <c r="K17" s="380"/>
      <c r="L17" s="230">
        <f>+K17*100/C17</f>
        <v>0</v>
      </c>
      <c r="M17" s="388"/>
      <c r="N17" s="389"/>
      <c r="O17" s="390"/>
      <c r="P17" s="385"/>
      <c r="Q17" s="391"/>
      <c r="R17" s="385"/>
      <c r="S17" s="370"/>
      <c r="T17" s="498"/>
    </row>
    <row r="18" spans="1:20" s="236" customFormat="1" ht="18" customHeight="1">
      <c r="A18" s="234">
        <f t="shared" si="2"/>
        <v>4</v>
      </c>
      <c r="B18" s="534" t="s">
        <v>522</v>
      </c>
      <c r="C18" s="553">
        <v>1115</v>
      </c>
      <c r="D18" s="555">
        <v>4665</v>
      </c>
      <c r="E18" s="536"/>
      <c r="F18" s="536"/>
      <c r="G18" s="535">
        <v>45</v>
      </c>
      <c r="H18" s="386">
        <f t="shared" si="1"/>
        <v>45</v>
      </c>
      <c r="I18" s="380"/>
      <c r="J18" s="387">
        <f>+I18*100/C18</f>
        <v>0</v>
      </c>
      <c r="K18" s="380"/>
      <c r="L18" s="230">
        <f>+K18*100/C18</f>
        <v>0</v>
      </c>
      <c r="M18" s="388"/>
      <c r="N18" s="389"/>
      <c r="O18" s="390"/>
      <c r="P18" s="385"/>
      <c r="Q18" s="391"/>
      <c r="R18" s="385"/>
      <c r="S18" s="370"/>
      <c r="T18" s="498"/>
    </row>
    <row r="19" spans="1:20" s="236" customFormat="1" ht="18" customHeight="1">
      <c r="A19" s="234">
        <f t="shared" si="2"/>
        <v>5</v>
      </c>
      <c r="B19" s="533" t="s">
        <v>927</v>
      </c>
      <c r="C19" s="553">
        <v>922</v>
      </c>
      <c r="D19" s="556">
        <v>4134</v>
      </c>
      <c r="E19" s="536"/>
      <c r="F19" s="536"/>
      <c r="G19" s="535">
        <v>40</v>
      </c>
      <c r="H19" s="386">
        <f t="shared" si="1"/>
        <v>40</v>
      </c>
      <c r="I19" s="380"/>
      <c r="J19" s="387"/>
      <c r="K19" s="380"/>
      <c r="L19" s="230"/>
      <c r="M19" s="388"/>
      <c r="N19" s="389"/>
      <c r="O19" s="390"/>
      <c r="P19" s="385"/>
      <c r="Q19" s="391"/>
      <c r="R19" s="385"/>
      <c r="S19" s="370"/>
      <c r="T19" s="498"/>
    </row>
    <row r="20" spans="1:20" s="236" customFormat="1" ht="18" customHeight="1">
      <c r="A20" s="234">
        <f t="shared" si="2"/>
        <v>6</v>
      </c>
      <c r="B20" s="533" t="s">
        <v>523</v>
      </c>
      <c r="C20" s="553">
        <v>3000</v>
      </c>
      <c r="D20" s="556">
        <v>11254</v>
      </c>
      <c r="E20" s="536"/>
      <c r="F20" s="536"/>
      <c r="G20" s="535">
        <v>70</v>
      </c>
      <c r="H20" s="386">
        <f t="shared" si="1"/>
        <v>70</v>
      </c>
      <c r="I20" s="380"/>
      <c r="J20" s="387"/>
      <c r="K20" s="380"/>
      <c r="L20" s="230"/>
      <c r="M20" s="388"/>
      <c r="N20" s="389"/>
      <c r="O20" s="390"/>
      <c r="P20" s="385"/>
      <c r="Q20" s="391"/>
      <c r="R20" s="385"/>
      <c r="S20" s="370"/>
      <c r="T20" s="498"/>
    </row>
    <row r="21" spans="1:20" s="236" customFormat="1" ht="18" customHeight="1">
      <c r="A21" s="234">
        <f t="shared" si="2"/>
        <v>7</v>
      </c>
      <c r="B21" s="533" t="s">
        <v>524</v>
      </c>
      <c r="C21" s="553">
        <v>950</v>
      </c>
      <c r="D21" s="556">
        <v>3671</v>
      </c>
      <c r="E21" s="536"/>
      <c r="F21" s="536"/>
      <c r="G21" s="535">
        <v>40</v>
      </c>
      <c r="H21" s="386">
        <f t="shared" si="1"/>
        <v>40</v>
      </c>
      <c r="I21" s="380"/>
      <c r="J21" s="387"/>
      <c r="K21" s="380"/>
      <c r="L21" s="230"/>
      <c r="M21" s="388"/>
      <c r="N21" s="389"/>
      <c r="O21" s="390"/>
      <c r="P21" s="385"/>
      <c r="Q21" s="391"/>
      <c r="R21" s="385"/>
      <c r="S21" s="370"/>
      <c r="T21" s="498"/>
    </row>
    <row r="22" spans="1:20" s="236" customFormat="1" ht="18" customHeight="1">
      <c r="A22" s="234">
        <f t="shared" si="2"/>
        <v>8</v>
      </c>
      <c r="B22" s="537" t="s">
        <v>1146</v>
      </c>
      <c r="C22" s="553">
        <v>959</v>
      </c>
      <c r="D22" s="556">
        <v>3998</v>
      </c>
      <c r="E22" s="536"/>
      <c r="F22" s="536"/>
      <c r="G22" s="535">
        <v>40</v>
      </c>
      <c r="H22" s="386">
        <f t="shared" si="1"/>
        <v>40</v>
      </c>
      <c r="I22" s="380"/>
      <c r="J22" s="387"/>
      <c r="K22" s="380"/>
      <c r="L22" s="230"/>
      <c r="M22" s="388"/>
      <c r="N22" s="389"/>
      <c r="O22" s="390"/>
      <c r="P22" s="385"/>
      <c r="Q22" s="391"/>
      <c r="R22" s="385"/>
      <c r="S22" s="370"/>
      <c r="T22" s="498"/>
    </row>
    <row r="23" spans="1:20" s="236" customFormat="1" ht="18" customHeight="1">
      <c r="A23" s="234">
        <f t="shared" si="2"/>
        <v>9</v>
      </c>
      <c r="B23" s="537" t="s">
        <v>1147</v>
      </c>
      <c r="C23" s="553">
        <v>706</v>
      </c>
      <c r="D23" s="556">
        <v>2535</v>
      </c>
      <c r="E23" s="536"/>
      <c r="F23" s="536"/>
      <c r="G23" s="535">
        <v>35</v>
      </c>
      <c r="H23" s="386">
        <f t="shared" si="1"/>
        <v>35</v>
      </c>
      <c r="I23" s="380"/>
      <c r="J23" s="387"/>
      <c r="K23" s="380"/>
      <c r="L23" s="230"/>
      <c r="M23" s="388"/>
      <c r="N23" s="389"/>
      <c r="O23" s="390"/>
      <c r="P23" s="385"/>
      <c r="Q23" s="391"/>
      <c r="R23" s="385"/>
      <c r="S23" s="370"/>
      <c r="T23" s="498"/>
    </row>
    <row r="24" spans="1:20" s="236" customFormat="1" ht="18" customHeight="1">
      <c r="A24" s="234">
        <f t="shared" si="2"/>
        <v>10</v>
      </c>
      <c r="B24" s="537" t="s">
        <v>525</v>
      </c>
      <c r="C24" s="553">
        <v>1743</v>
      </c>
      <c r="D24" s="556">
        <v>6801</v>
      </c>
      <c r="E24" s="536"/>
      <c r="F24" s="536"/>
      <c r="G24" s="535">
        <v>50</v>
      </c>
      <c r="H24" s="386">
        <f t="shared" si="1"/>
        <v>50</v>
      </c>
      <c r="I24" s="380"/>
      <c r="J24" s="387"/>
      <c r="K24" s="380"/>
      <c r="L24" s="230"/>
      <c r="M24" s="388"/>
      <c r="N24" s="389"/>
      <c r="O24" s="390"/>
      <c r="P24" s="385"/>
      <c r="Q24" s="391"/>
      <c r="R24" s="385"/>
      <c r="S24" s="370"/>
      <c r="T24" s="498"/>
    </row>
    <row r="25" spans="1:20" s="236" customFormat="1" ht="18" customHeight="1">
      <c r="A25" s="234">
        <f t="shared" si="2"/>
        <v>11</v>
      </c>
      <c r="B25" s="537" t="s">
        <v>526</v>
      </c>
      <c r="C25" s="553">
        <v>1414</v>
      </c>
      <c r="D25" s="556">
        <v>5638</v>
      </c>
      <c r="E25" s="536"/>
      <c r="F25" s="536"/>
      <c r="G25" s="535">
        <v>45</v>
      </c>
      <c r="H25" s="386">
        <f t="shared" si="1"/>
        <v>45</v>
      </c>
      <c r="I25" s="380"/>
      <c r="J25" s="387"/>
      <c r="K25" s="380"/>
      <c r="L25" s="230"/>
      <c r="M25" s="388"/>
      <c r="N25" s="389"/>
      <c r="O25" s="390"/>
      <c r="P25" s="385"/>
      <c r="Q25" s="391"/>
      <c r="R25" s="385"/>
      <c r="S25" s="370"/>
      <c r="T25" s="498"/>
    </row>
    <row r="26" spans="1:20" s="236" customFormat="1" ht="18" customHeight="1">
      <c r="A26" s="234">
        <f t="shared" si="2"/>
        <v>12</v>
      </c>
      <c r="B26" s="537" t="s">
        <v>1148</v>
      </c>
      <c r="C26" s="553">
        <v>507</v>
      </c>
      <c r="D26" s="556">
        <v>2134</v>
      </c>
      <c r="E26" s="536"/>
      <c r="F26" s="536"/>
      <c r="G26" s="535">
        <v>20</v>
      </c>
      <c r="H26" s="386">
        <f t="shared" si="1"/>
        <v>20</v>
      </c>
      <c r="I26" s="380"/>
      <c r="J26" s="387"/>
      <c r="K26" s="380"/>
      <c r="L26" s="230"/>
      <c r="M26" s="388"/>
      <c r="N26" s="389"/>
      <c r="O26" s="390"/>
      <c r="P26" s="385"/>
      <c r="Q26" s="391"/>
      <c r="R26" s="385"/>
      <c r="S26" s="370"/>
      <c r="T26" s="498"/>
    </row>
    <row r="27" spans="1:20" s="236" customFormat="1" ht="18" customHeight="1">
      <c r="A27" s="234">
        <f t="shared" si="2"/>
        <v>13</v>
      </c>
      <c r="B27" s="537" t="s">
        <v>527</v>
      </c>
      <c r="C27" s="553">
        <v>2334</v>
      </c>
      <c r="D27" s="556">
        <v>8010</v>
      </c>
      <c r="E27" s="536"/>
      <c r="F27" s="536"/>
      <c r="G27" s="535">
        <v>60</v>
      </c>
      <c r="H27" s="386">
        <f t="shared" si="1"/>
        <v>60</v>
      </c>
      <c r="I27" s="380"/>
      <c r="J27" s="387"/>
      <c r="K27" s="380"/>
      <c r="L27" s="230"/>
      <c r="M27" s="388"/>
      <c r="N27" s="389"/>
      <c r="O27" s="390"/>
      <c r="P27" s="385"/>
      <c r="Q27" s="391"/>
      <c r="R27" s="385"/>
      <c r="S27" s="370"/>
      <c r="T27" s="498"/>
    </row>
    <row r="28" spans="1:20" s="236" customFormat="1" ht="18" customHeight="1">
      <c r="A28" s="234">
        <f t="shared" si="2"/>
        <v>14</v>
      </c>
      <c r="B28" s="533" t="s">
        <v>1149</v>
      </c>
      <c r="C28" s="553">
        <v>1099</v>
      </c>
      <c r="D28" s="556">
        <v>4363</v>
      </c>
      <c r="E28" s="536"/>
      <c r="F28" s="536"/>
      <c r="G28" s="535">
        <v>40</v>
      </c>
      <c r="H28" s="386">
        <f t="shared" si="1"/>
        <v>40</v>
      </c>
      <c r="I28" s="380"/>
      <c r="J28" s="387"/>
      <c r="K28" s="380"/>
      <c r="L28" s="230"/>
      <c r="M28" s="388"/>
      <c r="N28" s="389"/>
      <c r="O28" s="390"/>
      <c r="P28" s="385"/>
      <c r="Q28" s="391"/>
      <c r="R28" s="385"/>
      <c r="S28" s="370"/>
      <c r="T28" s="498"/>
    </row>
    <row r="29" spans="1:20" s="236" customFormat="1" ht="18" customHeight="1">
      <c r="A29" s="234">
        <f t="shared" si="2"/>
        <v>15</v>
      </c>
      <c r="B29" s="392" t="s">
        <v>528</v>
      </c>
      <c r="C29" s="548">
        <v>2451</v>
      </c>
      <c r="D29" s="557">
        <v>8214</v>
      </c>
      <c r="E29" s="536"/>
      <c r="F29" s="536"/>
      <c r="G29" s="535">
        <v>60</v>
      </c>
      <c r="H29" s="386">
        <f t="shared" si="1"/>
        <v>60</v>
      </c>
      <c r="I29" s="380"/>
      <c r="J29" s="387"/>
      <c r="K29" s="380"/>
      <c r="L29" s="230"/>
      <c r="M29" s="388"/>
      <c r="N29" s="389"/>
      <c r="O29" s="390"/>
      <c r="P29" s="385"/>
      <c r="Q29" s="391"/>
      <c r="R29" s="385"/>
      <c r="S29" s="370"/>
      <c r="T29" s="498"/>
    </row>
    <row r="30" spans="1:20" s="236" customFormat="1" ht="18" customHeight="1">
      <c r="A30" s="234">
        <f t="shared" si="2"/>
        <v>16</v>
      </c>
      <c r="B30" s="392" t="s">
        <v>529</v>
      </c>
      <c r="C30" s="548">
        <v>987</v>
      </c>
      <c r="D30" s="557">
        <v>3257</v>
      </c>
      <c r="E30" s="536"/>
      <c r="F30" s="536"/>
      <c r="G30" s="535">
        <v>40</v>
      </c>
      <c r="H30" s="386">
        <f t="shared" si="1"/>
        <v>40</v>
      </c>
      <c r="I30" s="380"/>
      <c r="J30" s="387"/>
      <c r="K30" s="380"/>
      <c r="L30" s="230"/>
      <c r="M30" s="388"/>
      <c r="N30" s="389"/>
      <c r="O30" s="390"/>
      <c r="P30" s="385"/>
      <c r="Q30" s="391"/>
      <c r="R30" s="385"/>
      <c r="S30" s="370"/>
      <c r="T30" s="498"/>
    </row>
    <row r="31" spans="1:20" s="236" customFormat="1" ht="18" customHeight="1">
      <c r="A31" s="234">
        <f t="shared" si="2"/>
        <v>17</v>
      </c>
      <c r="B31" s="392" t="s">
        <v>530</v>
      </c>
      <c r="C31" s="548">
        <v>1033</v>
      </c>
      <c r="D31" s="557">
        <v>4074</v>
      </c>
      <c r="E31" s="536"/>
      <c r="F31" s="536"/>
      <c r="G31" s="535">
        <v>45</v>
      </c>
      <c r="H31" s="386">
        <f t="shared" si="1"/>
        <v>45</v>
      </c>
      <c r="I31" s="380"/>
      <c r="J31" s="387"/>
      <c r="K31" s="380"/>
      <c r="L31" s="230"/>
      <c r="M31" s="388"/>
      <c r="N31" s="389"/>
      <c r="O31" s="390"/>
      <c r="P31" s="385"/>
      <c r="Q31" s="391"/>
      <c r="R31" s="385"/>
      <c r="S31" s="370"/>
      <c r="T31" s="498"/>
    </row>
    <row r="32" spans="1:20" s="236" customFormat="1" ht="18" customHeight="1">
      <c r="A32" s="234">
        <f t="shared" si="2"/>
        <v>18</v>
      </c>
      <c r="B32" s="392" t="s">
        <v>531</v>
      </c>
      <c r="C32" s="548">
        <v>1217</v>
      </c>
      <c r="D32" s="557">
        <v>5153</v>
      </c>
      <c r="E32" s="536"/>
      <c r="F32" s="536"/>
      <c r="G32" s="535">
        <v>50</v>
      </c>
      <c r="H32" s="386">
        <f t="shared" si="1"/>
        <v>50</v>
      </c>
      <c r="I32" s="380"/>
      <c r="J32" s="387"/>
      <c r="K32" s="380"/>
      <c r="L32" s="230"/>
      <c r="M32" s="388"/>
      <c r="N32" s="389"/>
      <c r="O32" s="390"/>
      <c r="P32" s="385"/>
      <c r="Q32" s="391"/>
      <c r="R32" s="385"/>
      <c r="S32" s="370"/>
      <c r="T32" s="498"/>
    </row>
    <row r="33" spans="1:20" s="236" customFormat="1" ht="18" customHeight="1">
      <c r="A33" s="234">
        <f t="shared" si="2"/>
        <v>19</v>
      </c>
      <c r="B33" s="392" t="s">
        <v>532</v>
      </c>
      <c r="C33" s="548">
        <v>864</v>
      </c>
      <c r="D33" s="557">
        <v>3512</v>
      </c>
      <c r="E33" s="536"/>
      <c r="F33" s="536"/>
      <c r="G33" s="535">
        <v>35</v>
      </c>
      <c r="H33" s="386">
        <f t="shared" si="1"/>
        <v>35</v>
      </c>
      <c r="I33" s="380"/>
      <c r="J33" s="387"/>
      <c r="K33" s="380"/>
      <c r="L33" s="230"/>
      <c r="M33" s="388"/>
      <c r="N33" s="389"/>
      <c r="O33" s="390"/>
      <c r="P33" s="385"/>
      <c r="Q33" s="391"/>
      <c r="R33" s="385"/>
      <c r="S33" s="370"/>
      <c r="T33" s="498"/>
    </row>
    <row r="34" spans="1:20" s="236" customFormat="1" ht="18" customHeight="1">
      <c r="A34" s="234">
        <f t="shared" si="2"/>
        <v>20</v>
      </c>
      <c r="B34" s="392" t="s">
        <v>533</v>
      </c>
      <c r="C34" s="548">
        <v>1595</v>
      </c>
      <c r="D34" s="557">
        <v>6166</v>
      </c>
      <c r="E34" s="536"/>
      <c r="F34" s="536"/>
      <c r="G34" s="535">
        <v>60</v>
      </c>
      <c r="H34" s="386">
        <f t="shared" si="1"/>
        <v>60</v>
      </c>
      <c r="I34" s="380"/>
      <c r="J34" s="387"/>
      <c r="K34" s="380"/>
      <c r="L34" s="230"/>
      <c r="M34" s="388"/>
      <c r="N34" s="389"/>
      <c r="O34" s="390"/>
      <c r="P34" s="385"/>
      <c r="Q34" s="391"/>
      <c r="R34" s="385"/>
      <c r="S34" s="370"/>
      <c r="T34" s="498"/>
    </row>
    <row r="35" spans="1:20" s="236" customFormat="1" ht="18" customHeight="1">
      <c r="A35" s="234">
        <f t="shared" si="2"/>
        <v>21</v>
      </c>
      <c r="B35" s="392" t="s">
        <v>534</v>
      </c>
      <c r="C35" s="548">
        <v>1020</v>
      </c>
      <c r="D35" s="557">
        <v>3812</v>
      </c>
      <c r="E35" s="536"/>
      <c r="F35" s="536"/>
      <c r="G35" s="535">
        <v>45</v>
      </c>
      <c r="H35" s="386">
        <f t="shared" si="1"/>
        <v>45</v>
      </c>
      <c r="I35" s="380"/>
      <c r="J35" s="387"/>
      <c r="K35" s="380"/>
      <c r="L35" s="230"/>
      <c r="M35" s="388"/>
      <c r="N35" s="389"/>
      <c r="O35" s="390"/>
      <c r="P35" s="385"/>
      <c r="Q35" s="391"/>
      <c r="R35" s="385"/>
      <c r="S35" s="370"/>
      <c r="T35" s="498"/>
    </row>
    <row r="36" spans="1:20" s="236" customFormat="1" ht="18" customHeight="1">
      <c r="A36" s="234">
        <f t="shared" si="2"/>
        <v>22</v>
      </c>
      <c r="B36" s="392" t="s">
        <v>535</v>
      </c>
      <c r="C36" s="548">
        <v>3395</v>
      </c>
      <c r="D36" s="557">
        <v>12198</v>
      </c>
      <c r="E36" s="536"/>
      <c r="F36" s="536"/>
      <c r="G36" s="535">
        <v>40</v>
      </c>
      <c r="H36" s="386">
        <f t="shared" si="1"/>
        <v>40</v>
      </c>
      <c r="I36" s="380"/>
      <c r="J36" s="387"/>
      <c r="K36" s="380"/>
      <c r="L36" s="230"/>
      <c r="M36" s="388"/>
      <c r="N36" s="389"/>
      <c r="O36" s="390"/>
      <c r="P36" s="385"/>
      <c r="Q36" s="391"/>
      <c r="R36" s="385"/>
      <c r="S36" s="370"/>
      <c r="T36" s="498"/>
    </row>
    <row r="37" spans="1:20" s="236" customFormat="1" ht="18" customHeight="1">
      <c r="A37" s="234">
        <f t="shared" si="2"/>
        <v>23</v>
      </c>
      <c r="B37" s="538" t="s">
        <v>1150</v>
      </c>
      <c r="C37" s="548">
        <v>2035</v>
      </c>
      <c r="D37" s="557">
        <v>7788</v>
      </c>
      <c r="E37" s="536"/>
      <c r="F37" s="536"/>
      <c r="G37" s="535">
        <v>50</v>
      </c>
      <c r="H37" s="386">
        <f t="shared" si="1"/>
        <v>50</v>
      </c>
      <c r="I37" s="380"/>
      <c r="J37" s="387"/>
      <c r="K37" s="380"/>
      <c r="L37" s="230"/>
      <c r="M37" s="388"/>
      <c r="N37" s="389"/>
      <c r="O37" s="390"/>
      <c r="P37" s="385"/>
      <c r="Q37" s="391"/>
      <c r="R37" s="385"/>
      <c r="S37" s="370"/>
      <c r="T37" s="498"/>
    </row>
    <row r="38" spans="1:20" s="236" customFormat="1" ht="18" customHeight="1">
      <c r="A38" s="234">
        <f t="shared" si="2"/>
        <v>24</v>
      </c>
      <c r="B38" s="538" t="s">
        <v>536</v>
      </c>
      <c r="C38" s="548">
        <v>2494</v>
      </c>
      <c r="D38" s="557">
        <v>9723</v>
      </c>
      <c r="E38" s="536"/>
      <c r="F38" s="536"/>
      <c r="G38" s="535">
        <v>55</v>
      </c>
      <c r="H38" s="386">
        <f t="shared" si="1"/>
        <v>55</v>
      </c>
      <c r="I38" s="380"/>
      <c r="J38" s="387"/>
      <c r="K38" s="380"/>
      <c r="L38" s="230"/>
      <c r="M38" s="388"/>
      <c r="N38" s="389"/>
      <c r="O38" s="390"/>
      <c r="P38" s="385"/>
      <c r="Q38" s="391"/>
      <c r="R38" s="385"/>
      <c r="S38" s="370"/>
      <c r="T38" s="498"/>
    </row>
    <row r="39" spans="1:20" s="236" customFormat="1" ht="18" customHeight="1">
      <c r="A39" s="234">
        <f t="shared" si="2"/>
        <v>25</v>
      </c>
      <c r="B39" s="537" t="s">
        <v>1151</v>
      </c>
      <c r="C39" s="539">
        <v>1447</v>
      </c>
      <c r="D39" s="539">
        <v>6025</v>
      </c>
      <c r="E39" s="536"/>
      <c r="F39" s="536"/>
      <c r="G39" s="535">
        <v>45</v>
      </c>
      <c r="H39" s="386">
        <f t="shared" si="1"/>
        <v>45</v>
      </c>
      <c r="I39" s="380"/>
      <c r="J39" s="387"/>
      <c r="K39" s="380"/>
      <c r="L39" s="230"/>
      <c r="M39" s="388"/>
      <c r="N39" s="389"/>
      <c r="O39" s="390"/>
      <c r="P39" s="385"/>
      <c r="Q39" s="391"/>
      <c r="R39" s="385"/>
      <c r="S39" s="370"/>
      <c r="T39" s="498"/>
    </row>
    <row r="40" spans="1:20" s="236" customFormat="1" ht="18" customHeight="1">
      <c r="A40" s="234">
        <f t="shared" si="2"/>
        <v>26</v>
      </c>
      <c r="B40" s="537" t="s">
        <v>1152</v>
      </c>
      <c r="C40" s="539">
        <v>1610</v>
      </c>
      <c r="D40" s="539">
        <v>7090</v>
      </c>
      <c r="E40" s="536"/>
      <c r="F40" s="536"/>
      <c r="G40" s="535">
        <v>50</v>
      </c>
      <c r="H40" s="386">
        <f t="shared" si="1"/>
        <v>50</v>
      </c>
      <c r="I40" s="380"/>
      <c r="J40" s="387"/>
      <c r="K40" s="380"/>
      <c r="L40" s="230"/>
      <c r="M40" s="388"/>
      <c r="N40" s="389"/>
      <c r="O40" s="390"/>
      <c r="P40" s="385"/>
      <c r="Q40" s="391"/>
      <c r="R40" s="385"/>
      <c r="S40" s="370"/>
      <c r="T40" s="498"/>
    </row>
    <row r="41" spans="1:20" s="236" customFormat="1" ht="18" customHeight="1">
      <c r="A41" s="234">
        <f t="shared" si="2"/>
        <v>27</v>
      </c>
      <c r="B41" s="533" t="s">
        <v>537</v>
      </c>
      <c r="C41" s="539">
        <v>721</v>
      </c>
      <c r="D41" s="539">
        <v>2595</v>
      </c>
      <c r="E41" s="536"/>
      <c r="F41" s="536"/>
      <c r="G41" s="535">
        <v>30</v>
      </c>
      <c r="H41" s="386">
        <f t="shared" si="1"/>
        <v>30</v>
      </c>
      <c r="I41" s="380"/>
      <c r="J41" s="387"/>
      <c r="K41" s="380"/>
      <c r="L41" s="230"/>
      <c r="M41" s="388"/>
      <c r="N41" s="389"/>
      <c r="O41" s="390"/>
      <c r="P41" s="385"/>
      <c r="Q41" s="391"/>
      <c r="R41" s="385"/>
      <c r="S41" s="370"/>
      <c r="T41" s="498"/>
    </row>
    <row r="42" spans="1:20" s="236" customFormat="1" ht="18" customHeight="1">
      <c r="A42" s="234">
        <f t="shared" si="2"/>
        <v>28</v>
      </c>
      <c r="B42" s="533" t="s">
        <v>1153</v>
      </c>
      <c r="C42" s="539">
        <v>991</v>
      </c>
      <c r="D42" s="539">
        <v>3959</v>
      </c>
      <c r="E42" s="536"/>
      <c r="F42" s="536"/>
      <c r="G42" s="535">
        <v>40</v>
      </c>
      <c r="H42" s="386">
        <f t="shared" si="1"/>
        <v>40</v>
      </c>
      <c r="I42" s="380"/>
      <c r="J42" s="387"/>
      <c r="K42" s="380"/>
      <c r="L42" s="230"/>
      <c r="M42" s="388"/>
      <c r="N42" s="389"/>
      <c r="O42" s="390"/>
      <c r="P42" s="385"/>
      <c r="Q42" s="391"/>
      <c r="R42" s="385"/>
      <c r="S42" s="370"/>
      <c r="T42" s="498"/>
    </row>
    <row r="43" spans="1:20" s="236" customFormat="1" ht="18" customHeight="1">
      <c r="A43" s="234">
        <f t="shared" si="2"/>
        <v>29</v>
      </c>
      <c r="B43" s="533" t="s">
        <v>1154</v>
      </c>
      <c r="C43" s="539">
        <v>1851</v>
      </c>
      <c r="D43" s="539">
        <v>6855</v>
      </c>
      <c r="E43" s="536"/>
      <c r="F43" s="536"/>
      <c r="G43" s="535">
        <v>50</v>
      </c>
      <c r="H43" s="386">
        <f t="shared" si="1"/>
        <v>50</v>
      </c>
      <c r="I43" s="380"/>
      <c r="J43" s="387"/>
      <c r="K43" s="380"/>
      <c r="L43" s="230"/>
      <c r="M43" s="388"/>
      <c r="N43" s="389"/>
      <c r="O43" s="390"/>
      <c r="P43" s="385"/>
      <c r="Q43" s="391"/>
      <c r="R43" s="385"/>
      <c r="S43" s="370"/>
      <c r="T43" s="498"/>
    </row>
    <row r="44" spans="1:20" s="236" customFormat="1" ht="18" customHeight="1">
      <c r="A44" s="234">
        <f t="shared" si="2"/>
        <v>30</v>
      </c>
      <c r="B44" s="533" t="s">
        <v>1155</v>
      </c>
      <c r="C44" s="539">
        <v>691</v>
      </c>
      <c r="D44" s="539">
        <v>2257</v>
      </c>
      <c r="E44" s="536"/>
      <c r="F44" s="536"/>
      <c r="G44" s="535">
        <v>25</v>
      </c>
      <c r="H44" s="386">
        <f t="shared" si="1"/>
        <v>25</v>
      </c>
      <c r="I44" s="380"/>
      <c r="J44" s="387"/>
      <c r="K44" s="380"/>
      <c r="L44" s="230"/>
      <c r="M44" s="388"/>
      <c r="N44" s="389"/>
      <c r="O44" s="390"/>
      <c r="P44" s="385"/>
      <c r="Q44" s="391"/>
      <c r="R44" s="385"/>
      <c r="S44" s="370"/>
      <c r="T44" s="498"/>
    </row>
    <row r="45" spans="1:20" s="236" customFormat="1" ht="18" customHeight="1">
      <c r="A45" s="234">
        <f t="shared" si="2"/>
        <v>31</v>
      </c>
      <c r="B45" s="533" t="s">
        <v>538</v>
      </c>
      <c r="C45" s="539">
        <v>1467</v>
      </c>
      <c r="D45" s="539">
        <v>5388</v>
      </c>
      <c r="E45" s="536"/>
      <c r="F45" s="536"/>
      <c r="G45" s="535">
        <v>45</v>
      </c>
      <c r="H45" s="386">
        <f t="shared" si="1"/>
        <v>45</v>
      </c>
      <c r="I45" s="380"/>
      <c r="J45" s="387">
        <f aca="true" t="shared" si="3" ref="J45:J53">+I45*100/C45</f>
        <v>0</v>
      </c>
      <c r="K45" s="380"/>
      <c r="L45" s="230">
        <f aca="true" t="shared" si="4" ref="L45:L53">+K45*100/C45</f>
        <v>0</v>
      </c>
      <c r="M45" s="388"/>
      <c r="N45" s="389"/>
      <c r="O45" s="390"/>
      <c r="P45" s="385"/>
      <c r="Q45" s="391"/>
      <c r="R45" s="385"/>
      <c r="S45" s="370"/>
      <c r="T45" s="498"/>
    </row>
    <row r="46" spans="1:20" s="236" customFormat="1" ht="18" customHeight="1">
      <c r="A46" s="234">
        <f t="shared" si="2"/>
        <v>32</v>
      </c>
      <c r="B46" s="533" t="s">
        <v>539</v>
      </c>
      <c r="C46" s="539">
        <v>2974</v>
      </c>
      <c r="D46" s="539">
        <v>11918</v>
      </c>
      <c r="E46" s="536"/>
      <c r="F46" s="536"/>
      <c r="G46" s="535">
        <v>70</v>
      </c>
      <c r="H46" s="386">
        <f t="shared" si="1"/>
        <v>70</v>
      </c>
      <c r="I46" s="380"/>
      <c r="J46" s="387">
        <f t="shared" si="3"/>
        <v>0</v>
      </c>
      <c r="K46" s="380"/>
      <c r="L46" s="230">
        <f t="shared" si="4"/>
        <v>0</v>
      </c>
      <c r="M46" s="388"/>
      <c r="N46" s="389"/>
      <c r="O46" s="390"/>
      <c r="P46" s="385"/>
      <c r="Q46" s="391"/>
      <c r="R46" s="385"/>
      <c r="S46" s="370"/>
      <c r="T46" s="498"/>
    </row>
    <row r="47" spans="1:20" s="236" customFormat="1" ht="18" customHeight="1">
      <c r="A47" s="234">
        <f t="shared" si="2"/>
        <v>33</v>
      </c>
      <c r="B47" s="392" t="s">
        <v>540</v>
      </c>
      <c r="C47" s="548">
        <v>1707</v>
      </c>
      <c r="D47" s="557">
        <v>6032</v>
      </c>
      <c r="E47" s="536"/>
      <c r="F47" s="536"/>
      <c r="G47" s="535">
        <v>45</v>
      </c>
      <c r="H47" s="386">
        <f t="shared" si="1"/>
        <v>45</v>
      </c>
      <c r="I47" s="380"/>
      <c r="J47" s="387">
        <f t="shared" si="3"/>
        <v>0</v>
      </c>
      <c r="K47" s="380"/>
      <c r="L47" s="230">
        <f t="shared" si="4"/>
        <v>0</v>
      </c>
      <c r="M47" s="388"/>
      <c r="N47" s="389"/>
      <c r="O47" s="390"/>
      <c r="P47" s="385"/>
      <c r="Q47" s="391"/>
      <c r="R47" s="385"/>
      <c r="S47" s="370"/>
      <c r="T47" s="498"/>
    </row>
    <row r="48" spans="1:20" s="236" customFormat="1" ht="18" customHeight="1">
      <c r="A48" s="234">
        <f t="shared" si="2"/>
        <v>34</v>
      </c>
      <c r="B48" s="392" t="s">
        <v>541</v>
      </c>
      <c r="C48" s="548">
        <v>2424</v>
      </c>
      <c r="D48" s="557">
        <v>8338</v>
      </c>
      <c r="E48" s="536"/>
      <c r="F48" s="536"/>
      <c r="G48" s="535">
        <v>55</v>
      </c>
      <c r="H48" s="386">
        <f t="shared" si="1"/>
        <v>55</v>
      </c>
      <c r="I48" s="380"/>
      <c r="J48" s="387">
        <f t="shared" si="3"/>
        <v>0</v>
      </c>
      <c r="K48" s="380"/>
      <c r="L48" s="230">
        <f t="shared" si="4"/>
        <v>0</v>
      </c>
      <c r="M48" s="388"/>
      <c r="N48" s="389"/>
      <c r="O48" s="390"/>
      <c r="P48" s="385"/>
      <c r="Q48" s="391"/>
      <c r="R48" s="385"/>
      <c r="S48" s="370"/>
      <c r="T48" s="498"/>
    </row>
    <row r="49" spans="1:20" s="236" customFormat="1" ht="18" customHeight="1">
      <c r="A49" s="234">
        <f t="shared" si="2"/>
        <v>35</v>
      </c>
      <c r="B49" s="392" t="s">
        <v>542</v>
      </c>
      <c r="C49" s="548">
        <v>1365</v>
      </c>
      <c r="D49" s="557">
        <v>5223</v>
      </c>
      <c r="E49" s="536"/>
      <c r="F49" s="536"/>
      <c r="G49" s="535">
        <v>50</v>
      </c>
      <c r="H49" s="386">
        <f t="shared" si="1"/>
        <v>50</v>
      </c>
      <c r="I49" s="380"/>
      <c r="J49" s="387">
        <f t="shared" si="3"/>
        <v>0</v>
      </c>
      <c r="K49" s="380"/>
      <c r="L49" s="230">
        <f t="shared" si="4"/>
        <v>0</v>
      </c>
      <c r="M49" s="388"/>
      <c r="N49" s="389"/>
      <c r="O49" s="390"/>
      <c r="P49" s="385"/>
      <c r="Q49" s="391"/>
      <c r="R49" s="385"/>
      <c r="S49" s="370"/>
      <c r="T49" s="498"/>
    </row>
    <row r="50" spans="1:20" s="236" customFormat="1" ht="18" customHeight="1">
      <c r="A50" s="234">
        <f t="shared" si="2"/>
        <v>36</v>
      </c>
      <c r="B50" s="392" t="s">
        <v>543</v>
      </c>
      <c r="C50" s="548">
        <v>826</v>
      </c>
      <c r="D50" s="557">
        <v>3087</v>
      </c>
      <c r="E50" s="536"/>
      <c r="F50" s="536"/>
      <c r="G50" s="535">
        <v>30</v>
      </c>
      <c r="H50" s="386">
        <f t="shared" si="1"/>
        <v>30</v>
      </c>
      <c r="I50" s="380"/>
      <c r="J50" s="387">
        <f t="shared" si="3"/>
        <v>0</v>
      </c>
      <c r="K50" s="380"/>
      <c r="L50" s="230">
        <f t="shared" si="4"/>
        <v>0</v>
      </c>
      <c r="M50" s="388"/>
      <c r="N50" s="389"/>
      <c r="O50" s="390"/>
      <c r="P50" s="385"/>
      <c r="Q50" s="391"/>
      <c r="R50" s="385"/>
      <c r="S50" s="370"/>
      <c r="T50" s="498"/>
    </row>
    <row r="51" spans="1:20" s="236" customFormat="1" ht="18" customHeight="1">
      <c r="A51" s="234">
        <f t="shared" si="2"/>
        <v>37</v>
      </c>
      <c r="B51" s="392" t="s">
        <v>544</v>
      </c>
      <c r="C51" s="548">
        <v>693</v>
      </c>
      <c r="D51" s="557">
        <v>2310</v>
      </c>
      <c r="E51" s="536"/>
      <c r="F51" s="536"/>
      <c r="G51" s="535">
        <v>40</v>
      </c>
      <c r="H51" s="386">
        <f t="shared" si="1"/>
        <v>40</v>
      </c>
      <c r="I51" s="380"/>
      <c r="J51" s="387">
        <f t="shared" si="3"/>
        <v>0</v>
      </c>
      <c r="K51" s="380"/>
      <c r="L51" s="230">
        <f t="shared" si="4"/>
        <v>0</v>
      </c>
      <c r="M51" s="388"/>
      <c r="N51" s="389"/>
      <c r="O51" s="390"/>
      <c r="P51" s="385"/>
      <c r="Q51" s="391"/>
      <c r="R51" s="385"/>
      <c r="S51" s="370"/>
      <c r="T51" s="498"/>
    </row>
    <row r="52" spans="1:20" s="236" customFormat="1" ht="18" customHeight="1">
      <c r="A52" s="234">
        <f t="shared" si="2"/>
        <v>38</v>
      </c>
      <c r="B52" s="392" t="s">
        <v>545</v>
      </c>
      <c r="C52" s="548">
        <v>1136</v>
      </c>
      <c r="D52" s="557">
        <v>4064</v>
      </c>
      <c r="E52" s="536"/>
      <c r="F52" s="536"/>
      <c r="G52" s="535">
        <v>30</v>
      </c>
      <c r="H52" s="386">
        <f t="shared" si="1"/>
        <v>30</v>
      </c>
      <c r="I52" s="380"/>
      <c r="J52" s="387">
        <f t="shared" si="3"/>
        <v>0</v>
      </c>
      <c r="K52" s="380"/>
      <c r="L52" s="230">
        <f t="shared" si="4"/>
        <v>0</v>
      </c>
      <c r="M52" s="388"/>
      <c r="N52" s="389"/>
      <c r="O52" s="390"/>
      <c r="P52" s="385"/>
      <c r="Q52" s="391"/>
      <c r="R52" s="385"/>
      <c r="S52" s="370"/>
      <c r="T52" s="498"/>
    </row>
    <row r="53" spans="1:20" s="236" customFormat="1" ht="18" customHeight="1">
      <c r="A53" s="234">
        <f t="shared" si="2"/>
        <v>39</v>
      </c>
      <c r="B53" s="392" t="s">
        <v>546</v>
      </c>
      <c r="C53" s="548">
        <v>1614</v>
      </c>
      <c r="D53" s="557">
        <v>6654</v>
      </c>
      <c r="E53" s="536"/>
      <c r="F53" s="536"/>
      <c r="G53" s="535">
        <v>45</v>
      </c>
      <c r="H53" s="386">
        <f t="shared" si="1"/>
        <v>45</v>
      </c>
      <c r="I53" s="380"/>
      <c r="J53" s="387">
        <f t="shared" si="3"/>
        <v>0</v>
      </c>
      <c r="K53" s="380"/>
      <c r="L53" s="230">
        <f t="shared" si="4"/>
        <v>0</v>
      </c>
      <c r="M53" s="388"/>
      <c r="N53" s="389"/>
      <c r="O53" s="390"/>
      <c r="P53" s="385"/>
      <c r="Q53" s="391"/>
      <c r="R53" s="385"/>
      <c r="S53" s="370"/>
      <c r="T53" s="498"/>
    </row>
    <row r="54" spans="1:20" s="236" customFormat="1" ht="18" customHeight="1">
      <c r="A54" s="238" t="s">
        <v>745</v>
      </c>
      <c r="B54" s="238"/>
      <c r="C54" s="237">
        <f aca="true" t="shared" si="5" ref="C54:I54">SUM(C15:C53)</f>
        <v>58276</v>
      </c>
      <c r="D54" s="237">
        <f t="shared" si="5"/>
        <v>219965</v>
      </c>
      <c r="E54" s="237">
        <f t="shared" si="5"/>
        <v>0</v>
      </c>
      <c r="F54" s="237">
        <f t="shared" si="5"/>
        <v>0</v>
      </c>
      <c r="G54" s="237">
        <f t="shared" si="5"/>
        <v>1785</v>
      </c>
      <c r="H54" s="237">
        <f t="shared" si="5"/>
        <v>1785</v>
      </c>
      <c r="I54" s="237">
        <f t="shared" si="5"/>
        <v>0</v>
      </c>
      <c r="J54" s="382">
        <f>+I54/C54</f>
        <v>0</v>
      </c>
      <c r="K54" s="237">
        <f>SUM(K15:K53)</f>
        <v>0</v>
      </c>
      <c r="L54" s="382">
        <f>+K54/C54</f>
        <v>0</v>
      </c>
      <c r="M54" s="237">
        <f>SUM(M15:M53)</f>
        <v>0</v>
      </c>
      <c r="N54" s="393">
        <f>M54/C54%</f>
        <v>0</v>
      </c>
      <c r="O54" s="237">
        <f>SUM(O15:O53)</f>
        <v>0</v>
      </c>
      <c r="P54" s="237">
        <f>SUM(P15:P53)</f>
        <v>0</v>
      </c>
      <c r="Q54" s="238"/>
      <c r="R54" s="237">
        <f>SUM(R15:R53)</f>
        <v>0</v>
      </c>
      <c r="S54" s="238"/>
      <c r="T54" s="498"/>
    </row>
    <row r="55" spans="1:20" s="394" customFormat="1" ht="18" customHeight="1">
      <c r="A55" s="368" t="s">
        <v>746</v>
      </c>
      <c r="B55" s="247"/>
      <c r="C55" s="237">
        <f aca="true" t="shared" si="6" ref="C55:I55">+C54+C13</f>
        <v>65148</v>
      </c>
      <c r="D55" s="237">
        <f t="shared" si="6"/>
        <v>246337</v>
      </c>
      <c r="E55" s="237">
        <f t="shared" si="6"/>
        <v>620</v>
      </c>
      <c r="F55" s="237">
        <f t="shared" si="6"/>
        <v>110</v>
      </c>
      <c r="G55" s="237">
        <f t="shared" si="6"/>
        <v>1935</v>
      </c>
      <c r="H55" s="237">
        <f t="shared" si="6"/>
        <v>2665</v>
      </c>
      <c r="I55" s="237">
        <f t="shared" si="6"/>
        <v>4000</v>
      </c>
      <c r="J55" s="382"/>
      <c r="K55" s="237">
        <f>+K54+K13</f>
        <v>4880</v>
      </c>
      <c r="L55" s="382"/>
      <c r="M55" s="237">
        <f>+M54+M13</f>
        <v>6872</v>
      </c>
      <c r="N55" s="249">
        <f>+N54+N13</f>
        <v>100</v>
      </c>
      <c r="O55" s="237">
        <f>+O54+O13</f>
        <v>14</v>
      </c>
      <c r="P55" s="237">
        <f>+P54+P13</f>
        <v>1</v>
      </c>
      <c r="Q55" s="237"/>
      <c r="R55" s="237">
        <f>+R54+R13</f>
        <v>2</v>
      </c>
      <c r="S55" s="243"/>
      <c r="T55" s="499"/>
    </row>
    <row r="56" spans="1:13" ht="15.75">
      <c r="A56" s="241"/>
      <c r="B56" s="241"/>
      <c r="C56" s="554"/>
      <c r="D56" s="554"/>
      <c r="E56" s="242"/>
      <c r="F56" s="241"/>
      <c r="G56" s="242"/>
      <c r="H56" s="241"/>
      <c r="I56" s="241"/>
      <c r="J56" s="241"/>
      <c r="K56" s="241"/>
      <c r="L56" s="241"/>
      <c r="M56" s="241"/>
    </row>
  </sheetData>
  <sheetProtection/>
  <mergeCells count="14">
    <mergeCell ref="A13:B13"/>
    <mergeCell ref="E4:L4"/>
    <mergeCell ref="O4:Q5"/>
    <mergeCell ref="R4:S5"/>
    <mergeCell ref="E5:H5"/>
    <mergeCell ref="I5:J5"/>
    <mergeCell ref="K5:L5"/>
    <mergeCell ref="M5:N5"/>
    <mergeCell ref="A4:A6"/>
    <mergeCell ref="B4:B6"/>
    <mergeCell ref="C4:C6"/>
    <mergeCell ref="D4:D6"/>
    <mergeCell ref="A2:S2"/>
    <mergeCell ref="A1:S1"/>
  </mergeCells>
  <printOptions horizontalCentered="1"/>
  <pageMargins left="0.3937007874015748" right="0.2755905511811024" top="0.7086614173228347" bottom="0.5905511811023623" header="0.5118110236220472" footer="0.31496062992125984"/>
  <pageSetup firstPageNumber="19" useFirstPageNumber="1" horizontalDpi="600" verticalDpi="600" orientation="landscape" paperSize="9" scale="83" r:id="rId1"/>
  <headerFooter alignWithMargins="0">
    <oddFooter>&amp;C&amp;P</oddFooter>
  </headerFooter>
  <ignoredErrors>
    <ignoredError sqref="N54 J54 L54" formula="1"/>
    <ignoredError sqref="H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Cuc Thuy 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Ulysses R. Gotera</dc:creator>
  <cp:keywords/>
  <dc:description/>
  <cp:lastModifiedBy>Admin</cp:lastModifiedBy>
  <cp:lastPrinted>2021-12-29T03:21:12Z</cp:lastPrinted>
  <dcterms:created xsi:type="dcterms:W3CDTF">2005-07-19T14:43:59Z</dcterms:created>
  <dcterms:modified xsi:type="dcterms:W3CDTF">2022-02-15T02:38:04Z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TinBai">
    <vt:lpwstr>ff3cd863301b42bf</vt:lpwstr>
  </property>
</Properties>
</file>